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14. RI\2026\Divulgação de Resultados\1T26\"/>
    </mc:Choice>
  </mc:AlternateContent>
  <xr:revisionPtr revIDLastSave="0" documentId="13_ncr:1_{830B56E9-5D46-4C87-BE9C-D2992F55AB7E}" xr6:coauthVersionLast="47" xr6:coauthVersionMax="47" xr10:uidLastSave="{00000000-0000-0000-0000-000000000000}"/>
  <bookViews>
    <workbookView xWindow="13380" yWindow="0" windowWidth="29040" windowHeight="15720" tabRatio="766" xr2:uid="{00000000-000D-0000-FFFF-FFFF00000000}"/>
  </bookViews>
  <sheets>
    <sheet name="Menu" sheetId="1" r:id="rId1"/>
    <sheet name="Home" sheetId="30" state="hidden" r:id="rId2"/>
    <sheet name="Corp_Indicators" sheetId="24" r:id="rId3"/>
    <sheet name="Corp_Stores" sheetId="22" r:id="rId4"/>
    <sheet name="Corp_SI" sheetId="16" r:id="rId5"/>
    <sheet name="Corp_BS" sheetId="17" r:id="rId6"/>
    <sheet name="Corp_CFS" sheetId="31" r:id="rId7"/>
    <sheet name="BR_Indicators" sheetId="28" r:id="rId8"/>
    <sheet name="BR_IS" sheetId="7" r:id="rId9"/>
    <sheet name="BR_BS" sheetId="19" r:id="rId10"/>
    <sheet name="AR_Indicadores" sheetId="29" r:id="rId11"/>
    <sheet name="AR_IS" sheetId="15" r:id="rId12"/>
    <sheet name="AR_BS" sheetId="20" r:id="rId13"/>
  </sheets>
  <definedNames>
    <definedName name="ID" localSheetId="12" hidden="1">"3edb7fd1-d2a0-4a9f-8421-498c23420e70"</definedName>
    <definedName name="ID" localSheetId="10" hidden="1">"e112ae68-4449-4eec-a60d-03ee251253f2"</definedName>
    <definedName name="ID" localSheetId="11" hidden="1">"0952d32b-aa6c-4edd-bdc7-2d63f300bfe7"</definedName>
    <definedName name="ID" localSheetId="9" hidden="1">"75af1129-d9fd-46b5-9805-7048769b6192"</definedName>
    <definedName name="ID" localSheetId="7" hidden="1">"42ab163b-fbde-49f7-ac7c-ace3b8cd9822"</definedName>
    <definedName name="ID" localSheetId="8" hidden="1">"6bda8f62-9725-49ff-9be3-ea3be4e03cb8"</definedName>
    <definedName name="ID" localSheetId="5" hidden="1">"b41fc2a9-08f6-4570-a58c-f44d22533966"</definedName>
    <definedName name="ID" localSheetId="6" hidden="1">"ff3dd8d3-577c-4283-b23b-feead600e129"</definedName>
    <definedName name="ID" localSheetId="2" hidden="1">"6d4bc538-0765-4884-8a97-4fd145effb1b"</definedName>
    <definedName name="ID" localSheetId="4" hidden="1">"a278f6b9-5605-45bb-8282-c983340a93a0"</definedName>
    <definedName name="ID" localSheetId="3" hidden="1">"78b7d1da-2973-49a4-8512-4fa02bad2fd6"</definedName>
    <definedName name="ID" localSheetId="1" hidden="1">"c893193a-6708-46d0-8db4-aa9a7df976de"</definedName>
    <definedName name="ID" localSheetId="0" hidden="1">"a8a4fa7c-1397-4080-aa1a-138643d2cd01"</definedName>
    <definedName name="_xlnm.Print_Titles" localSheetId="12">AR_BS!$A:$A,AR_BS!$4:$4</definedName>
    <definedName name="_xlnm.Print_Titles" localSheetId="10">AR_Indicadores!$A:$A,AR_Indicadores!$4:$4</definedName>
    <definedName name="_xlnm.Print_Titles" localSheetId="11">AR_IS!$A:$A,AR_IS!$4:$4</definedName>
    <definedName name="_xlnm.Print_Titles" localSheetId="9">BR_BS!$A:$A,BR_BS!$4:$4</definedName>
    <definedName name="_xlnm.Print_Titles" localSheetId="7">BR_Indicators!$A:$A,BR_Indicators!$4:$4</definedName>
    <definedName name="_xlnm.Print_Titles" localSheetId="8">BR_IS!$A:$A,BR_IS!$4:$4</definedName>
    <definedName name="_xlnm.Print_Titles" localSheetId="5">Corp_BS!$A:$A,Corp_BS!$4:$4</definedName>
    <definedName name="_xlnm.Print_Titles" localSheetId="6">Corp_CFS!$A:$A,Corp_CFS!$4:$4</definedName>
    <definedName name="_xlnm.Print_Titles" localSheetId="2">Corp_Indicators!$A:$A,Corp_Indicators!$4:$4</definedName>
    <definedName name="_xlnm.Print_Titles" localSheetId="4">Corp_SI!$A:$A,Corp_SI!$4:$4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2" i="19" l="1"/>
  <c r="Z16" i="19"/>
  <c r="Z52" i="31"/>
  <c r="AD11" i="15"/>
  <c r="AD9" i="15"/>
  <c r="AD16" i="15" s="1"/>
  <c r="AD18" i="15" s="1"/>
  <c r="AD20" i="15" s="1"/>
  <c r="AD21" i="15" s="1"/>
  <c r="AD16" i="7"/>
  <c r="AD18" i="7" s="1"/>
  <c r="AD20" i="7" s="1"/>
  <c r="AD21" i="7" s="1"/>
  <c r="AD11" i="7"/>
  <c r="AD9" i="7"/>
  <c r="AD10" i="28"/>
  <c r="AD7" i="28"/>
  <c r="Z22" i="31"/>
  <c r="Z39" i="31" s="1"/>
  <c r="Z49" i="31" s="1"/>
  <c r="Z10" i="31"/>
  <c r="Y22" i="31"/>
  <c r="AD71" i="17"/>
  <c r="AD73" i="17" s="1"/>
  <c r="AD60" i="17"/>
  <c r="AD48" i="17"/>
  <c r="AD32" i="17"/>
  <c r="AD30" i="17"/>
  <c r="AD16" i="17"/>
  <c r="AD10" i="16"/>
  <c r="AD8" i="16"/>
  <c r="AD15" i="16" s="1"/>
  <c r="AD17" i="16" s="1"/>
  <c r="AD19" i="16" s="1"/>
  <c r="AD20" i="16" s="1"/>
  <c r="V14" i="22"/>
  <c r="V13" i="22" s="1"/>
  <c r="V17" i="22" s="1"/>
  <c r="V10" i="22"/>
  <c r="V7" i="22"/>
  <c r="V6" i="22"/>
  <c r="AD22" i="24"/>
  <c r="AD15" i="24"/>
  <c r="AB14" i="28"/>
  <c r="V22" i="20"/>
  <c r="V16" i="20"/>
  <c r="AC11" i="15"/>
  <c r="AC9" i="15" s="1"/>
  <c r="AC16" i="15" s="1"/>
  <c r="AC18" i="15" s="1"/>
  <c r="AC20" i="15" s="1"/>
  <c r="AC21" i="15" s="1"/>
  <c r="Y22" i="19"/>
  <c r="Y16" i="19"/>
  <c r="AC11" i="7"/>
  <c r="AC9" i="7"/>
  <c r="AC16" i="7" s="1"/>
  <c r="AC18" i="7" s="1"/>
  <c r="AC20" i="7" s="1"/>
  <c r="AC21" i="7" s="1"/>
  <c r="AC7" i="28"/>
  <c r="AC14" i="28" s="1"/>
  <c r="AC10" i="28"/>
  <c r="Y10" i="31"/>
  <c r="AC71" i="17"/>
  <c r="AC73" i="17" s="1"/>
  <c r="AC60" i="17"/>
  <c r="AC48" i="17"/>
  <c r="AC32" i="17"/>
  <c r="AC30" i="17"/>
  <c r="AC16" i="17"/>
  <c r="AC10" i="16"/>
  <c r="AC8" i="16" s="1"/>
  <c r="AC15" i="16" s="1"/>
  <c r="AC17" i="16" s="1"/>
  <c r="AC19" i="16" s="1"/>
  <c r="AC20" i="16" s="1"/>
  <c r="U14" i="22"/>
  <c r="U13" i="22" s="1"/>
  <c r="U10" i="22"/>
  <c r="U6" i="22" s="1"/>
  <c r="U7" i="22"/>
  <c r="AC22" i="24"/>
  <c r="AC15" i="24"/>
  <c r="X22" i="19"/>
  <c r="X16" i="19"/>
  <c r="U22" i="20"/>
  <c r="U16" i="20"/>
  <c r="A1" i="31"/>
  <c r="W22" i="31" s="1"/>
  <c r="AB11" i="15"/>
  <c r="AB9" i="15"/>
  <c r="AB16" i="15" s="1"/>
  <c r="AB18" i="15" s="1"/>
  <c r="AB20" i="15" s="1"/>
  <c r="AB21" i="15" s="1"/>
  <c r="AB11" i="7"/>
  <c r="AB9" i="7" s="1"/>
  <c r="AB16" i="7" s="1"/>
  <c r="AB18" i="7" s="1"/>
  <c r="AB20" i="7" s="1"/>
  <c r="AB21" i="7" s="1"/>
  <c r="AB10" i="28"/>
  <c r="AB7" i="28"/>
  <c r="X52" i="31"/>
  <c r="X37" i="31"/>
  <c r="X10" i="31"/>
  <c r="AB71" i="17"/>
  <c r="AB60" i="17"/>
  <c r="AB48" i="17"/>
  <c r="AB30" i="17"/>
  <c r="AB16" i="17"/>
  <c r="AB10" i="16"/>
  <c r="AB8" i="16" s="1"/>
  <c r="AB15" i="16" s="1"/>
  <c r="AB17" i="16" s="1"/>
  <c r="AB19" i="16" s="1"/>
  <c r="AB20" i="16" s="1"/>
  <c r="T17" i="22"/>
  <c r="T14" i="22"/>
  <c r="T13" i="22" s="1"/>
  <c r="T10" i="22"/>
  <c r="T6" i="22" s="1"/>
  <c r="T7" i="22"/>
  <c r="AB22" i="24"/>
  <c r="AB15" i="24"/>
  <c r="Z20" i="31" l="1"/>
  <c r="Z33" i="31" s="1"/>
  <c r="Z37" i="31" s="1"/>
  <c r="Z51" i="31" s="1"/>
  <c r="AC28" i="24"/>
  <c r="AB28" i="24"/>
  <c r="AD28" i="24"/>
  <c r="Y39" i="31"/>
  <c r="Y49" i="31" s="1"/>
  <c r="Y20" i="31"/>
  <c r="Y33" i="31" s="1"/>
  <c r="Y37" i="31" s="1"/>
  <c r="Y51" i="31" s="1"/>
  <c r="U17" i="22"/>
  <c r="O22" i="31"/>
  <c r="P22" i="31"/>
  <c r="M22" i="31"/>
  <c r="U22" i="31"/>
  <c r="R22" i="31"/>
  <c r="K22" i="31"/>
  <c r="S22" i="31"/>
  <c r="N22" i="31"/>
  <c r="Q22" i="31"/>
  <c r="L22" i="31"/>
  <c r="T22" i="31"/>
  <c r="X22" i="31"/>
  <c r="X39" i="31" s="1"/>
  <c r="X49" i="31" s="1"/>
  <c r="AB32" i="17"/>
  <c r="AB73" i="17"/>
  <c r="V22" i="31"/>
  <c r="X20" i="31" l="1"/>
  <c r="X33" i="31" s="1"/>
  <c r="X51" i="31" s="1"/>
  <c r="T22" i="20" l="1"/>
  <c r="T16" i="20"/>
  <c r="AA11" i="15"/>
  <c r="AA9" i="15" s="1"/>
  <c r="AA16" i="15" s="1"/>
  <c r="AA18" i="15" s="1"/>
  <c r="AA20" i="15" s="1"/>
  <c r="AA21" i="15" s="1"/>
  <c r="W22" i="19"/>
  <c r="W16" i="19"/>
  <c r="AA17" i="7"/>
  <c r="AA19" i="7"/>
  <c r="AA16" i="7"/>
  <c r="AA15" i="7"/>
  <c r="AA13" i="7"/>
  <c r="AA11" i="7" s="1"/>
  <c r="AA9" i="7" s="1"/>
  <c r="AA14" i="28"/>
  <c r="AA10" i="28"/>
  <c r="Z10" i="28"/>
  <c r="Y10" i="28"/>
  <c r="X10" i="28"/>
  <c r="W10" i="28"/>
  <c r="V10" i="28"/>
  <c r="U10" i="28"/>
  <c r="T10" i="28"/>
  <c r="S10" i="28"/>
  <c r="R10" i="28"/>
  <c r="AA7" i="28"/>
  <c r="Z7" i="28"/>
  <c r="Y7" i="28"/>
  <c r="X7" i="28"/>
  <c r="W7" i="28"/>
  <c r="V7" i="28"/>
  <c r="U7" i="28"/>
  <c r="T7" i="28"/>
  <c r="S7" i="28"/>
  <c r="R7" i="28"/>
  <c r="W52" i="31"/>
  <c r="W39" i="31"/>
  <c r="W49" i="31" s="1"/>
  <c r="V39" i="31"/>
  <c r="U39" i="31"/>
  <c r="T39" i="31"/>
  <c r="S39" i="31"/>
  <c r="R39" i="31"/>
  <c r="Q39" i="31"/>
  <c r="P39" i="31"/>
  <c r="O39" i="31"/>
  <c r="N39" i="31"/>
  <c r="M39" i="31"/>
  <c r="L39" i="31"/>
  <c r="K39" i="31"/>
  <c r="J39" i="31"/>
  <c r="W37" i="31"/>
  <c r="W10" i="31"/>
  <c r="W20" i="31"/>
  <c r="AA10" i="16"/>
  <c r="AA8" i="16"/>
  <c r="AA15" i="16" s="1"/>
  <c r="AA17" i="16" s="1"/>
  <c r="AA19" i="16" s="1"/>
  <c r="AA20" i="16" s="1"/>
  <c r="S7" i="22"/>
  <c r="R17" i="22"/>
  <c r="S14" i="22"/>
  <c r="S13" i="22" s="1"/>
  <c r="R14" i="22"/>
  <c r="R13" i="22" s="1"/>
  <c r="S10" i="22"/>
  <c r="R10" i="22"/>
  <c r="R7" i="22"/>
  <c r="R6" i="22"/>
  <c r="T28" i="24"/>
  <c r="AA22" i="24"/>
  <c r="AA28" i="24" s="1"/>
  <c r="Z22" i="24"/>
  <c r="Y22" i="24"/>
  <c r="X22" i="24"/>
  <c r="W22" i="24"/>
  <c r="V22" i="24"/>
  <c r="V28" i="24" s="1"/>
  <c r="U22" i="24"/>
  <c r="T22" i="24"/>
  <c r="S22" i="24"/>
  <c r="R22" i="24"/>
  <c r="R28" i="24" s="1"/>
  <c r="Q22" i="24"/>
  <c r="Q28" i="24" s="1"/>
  <c r="P22" i="24"/>
  <c r="O22" i="24"/>
  <c r="O28" i="24" s="1"/>
  <c r="N22" i="24"/>
  <c r="M22" i="24"/>
  <c r="L22" i="24"/>
  <c r="K22" i="24"/>
  <c r="J22" i="24"/>
  <c r="I22" i="24"/>
  <c r="H22" i="24"/>
  <c r="H28" i="24" s="1"/>
  <c r="G22" i="24"/>
  <c r="G28" i="24" s="1"/>
  <c r="F22" i="24"/>
  <c r="F28" i="24" s="1"/>
  <c r="E22" i="24"/>
  <c r="E28" i="24" s="1"/>
  <c r="D22" i="24"/>
  <c r="C22" i="24"/>
  <c r="C28" i="24" s="1"/>
  <c r="B22" i="24"/>
  <c r="AA15" i="24"/>
  <c r="Z15" i="24"/>
  <c r="Y15" i="24"/>
  <c r="X15" i="24"/>
  <c r="W15" i="24"/>
  <c r="V15" i="24"/>
  <c r="U15" i="24"/>
  <c r="T15" i="24"/>
  <c r="S15" i="24"/>
  <c r="S28" i="24" s="1"/>
  <c r="R15" i="24"/>
  <c r="Q15" i="24"/>
  <c r="P15" i="24"/>
  <c r="O15" i="24"/>
  <c r="N15" i="24"/>
  <c r="M15" i="24"/>
  <c r="L15" i="24"/>
  <c r="K15" i="24"/>
  <c r="J15" i="24"/>
  <c r="J28" i="24" s="1"/>
  <c r="I15" i="24"/>
  <c r="H15" i="24"/>
  <c r="G15" i="24"/>
  <c r="F15" i="24"/>
  <c r="E15" i="24"/>
  <c r="D15" i="24"/>
  <c r="C15" i="24"/>
  <c r="B15" i="24"/>
  <c r="AA71" i="17"/>
  <c r="AA60" i="17"/>
  <c r="AA48" i="17"/>
  <c r="AA30" i="17"/>
  <c r="AA16" i="17"/>
  <c r="Z21" i="7"/>
  <c r="U28" i="24" l="1"/>
  <c r="L28" i="24"/>
  <c r="X28" i="24"/>
  <c r="M28" i="24"/>
  <c r="Y28" i="24"/>
  <c r="D28" i="24"/>
  <c r="P28" i="24"/>
  <c r="B28" i="24"/>
  <c r="N28" i="24"/>
  <c r="Z28" i="24"/>
  <c r="K28" i="24"/>
  <c r="I28" i="24"/>
  <c r="W28" i="24"/>
  <c r="W33" i="31"/>
  <c r="W51" i="31" s="1"/>
  <c r="AA18" i="7"/>
  <c r="AA20" i="7" s="1"/>
  <c r="AA21" i="7" s="1"/>
  <c r="AA73" i="17"/>
  <c r="AA32" i="17"/>
  <c r="S6" i="22"/>
  <c r="S17" i="22" s="1"/>
  <c r="S22" i="20"/>
  <c r="Z11" i="15"/>
  <c r="V22" i="19"/>
  <c r="V16" i="19"/>
  <c r="S16" i="20" l="1"/>
  <c r="Z11" i="7" l="1"/>
  <c r="Z9" i="7"/>
  <c r="Z16" i="7" s="1"/>
  <c r="Z18" i="7" s="1"/>
  <c r="Z20" i="7" s="1"/>
  <c r="Z14" i="28"/>
  <c r="V49" i="31"/>
  <c r="V37" i="31"/>
  <c r="V20" i="31"/>
  <c r="V10" i="31"/>
  <c r="Z71" i="17"/>
  <c r="Z60" i="17"/>
  <c r="Z48" i="17"/>
  <c r="Z30" i="17"/>
  <c r="Z32" i="17" s="1"/>
  <c r="Z16" i="17"/>
  <c r="Y16" i="17"/>
  <c r="Y32" i="17" s="1"/>
  <c r="Y30" i="17"/>
  <c r="Y48" i="17"/>
  <c r="Y60" i="17"/>
  <c r="Y71" i="17"/>
  <c r="Z10" i="16"/>
  <c r="Z8" i="16" s="1"/>
  <c r="Z15" i="16" s="1"/>
  <c r="Z17" i="16" s="1"/>
  <c r="Z19" i="16" s="1"/>
  <c r="Z20" i="16" s="1"/>
  <c r="Q13" i="22"/>
  <c r="Q6" i="22"/>
  <c r="Q7" i="22"/>
  <c r="Q10" i="22"/>
  <c r="Q14" i="22"/>
  <c r="Y14" i="15"/>
  <c r="Y11" i="7"/>
  <c r="R22" i="20"/>
  <c r="Y11" i="15"/>
  <c r="Y14" i="28"/>
  <c r="U20" i="31"/>
  <c r="U10" i="31"/>
  <c r="U49" i="31"/>
  <c r="T49" i="31"/>
  <c r="U37" i="31"/>
  <c r="Y10" i="16"/>
  <c r="Y8" i="16" s="1"/>
  <c r="Y15" i="16" s="1"/>
  <c r="Y17" i="16" s="1"/>
  <c r="Y19" i="16" s="1"/>
  <c r="Y20" i="16" s="1"/>
  <c r="X21" i="15"/>
  <c r="V21" i="15"/>
  <c r="U21" i="15"/>
  <c r="T21" i="15"/>
  <c r="S21" i="15"/>
  <c r="R21" i="15"/>
  <c r="Q21" i="15"/>
  <c r="P21" i="15"/>
  <c r="O21" i="15"/>
  <c r="N21" i="15"/>
  <c r="X20" i="15"/>
  <c r="V20" i="15"/>
  <c r="U20" i="15"/>
  <c r="T20" i="15"/>
  <c r="S20" i="15"/>
  <c r="R20" i="15"/>
  <c r="Q20" i="15"/>
  <c r="P20" i="15"/>
  <c r="O20" i="15"/>
  <c r="N20" i="15"/>
  <c r="X18" i="15"/>
  <c r="V18" i="15"/>
  <c r="U18" i="15"/>
  <c r="T18" i="15"/>
  <c r="S18" i="15"/>
  <c r="R18" i="15"/>
  <c r="Q18" i="15"/>
  <c r="P18" i="15"/>
  <c r="O18" i="15"/>
  <c r="N18" i="15"/>
  <c r="X16" i="15"/>
  <c r="W16" i="15"/>
  <c r="V16" i="15"/>
  <c r="U16" i="15"/>
  <c r="T16" i="15"/>
  <c r="S16" i="15"/>
  <c r="R16" i="15"/>
  <c r="Q16" i="15"/>
  <c r="P16" i="15"/>
  <c r="O16" i="15"/>
  <c r="N16" i="15"/>
  <c r="X9" i="15"/>
  <c r="W9" i="15"/>
  <c r="V9" i="15"/>
  <c r="U9" i="15"/>
  <c r="T9" i="15"/>
  <c r="S9" i="15"/>
  <c r="R9" i="15"/>
  <c r="Q9" i="15"/>
  <c r="P9" i="15"/>
  <c r="O9" i="15"/>
  <c r="N9" i="15"/>
  <c r="N21" i="7"/>
  <c r="V20" i="7"/>
  <c r="V21" i="7" s="1"/>
  <c r="T20" i="7"/>
  <c r="T21" i="7" s="1"/>
  <c r="N20" i="7"/>
  <c r="X18" i="7"/>
  <c r="X20" i="7" s="1"/>
  <c r="X21" i="7" s="1"/>
  <c r="W18" i="7"/>
  <c r="W20" i="7" s="1"/>
  <c r="W21" i="7" s="1"/>
  <c r="V18" i="7"/>
  <c r="U18" i="7"/>
  <c r="U20" i="7" s="1"/>
  <c r="U21" i="7" s="1"/>
  <c r="T18" i="7"/>
  <c r="S18" i="7"/>
  <c r="S20" i="7" s="1"/>
  <c r="S21" i="7" s="1"/>
  <c r="R18" i="7"/>
  <c r="R20" i="7" s="1"/>
  <c r="R21" i="7" s="1"/>
  <c r="Q18" i="7"/>
  <c r="Q20" i="7" s="1"/>
  <c r="Q21" i="7" s="1"/>
  <c r="P18" i="7"/>
  <c r="P20" i="7" s="1"/>
  <c r="P21" i="7" s="1"/>
  <c r="O18" i="7"/>
  <c r="O20" i="7" s="1"/>
  <c r="O21" i="7" s="1"/>
  <c r="N18" i="7"/>
  <c r="X16" i="7"/>
  <c r="W16" i="7"/>
  <c r="V16" i="7"/>
  <c r="U16" i="7"/>
  <c r="T16" i="7"/>
  <c r="S16" i="7"/>
  <c r="R16" i="7"/>
  <c r="Q16" i="7"/>
  <c r="P16" i="7"/>
  <c r="O16" i="7"/>
  <c r="N16" i="7"/>
  <c r="U9" i="7"/>
  <c r="T9" i="7"/>
  <c r="S9" i="7"/>
  <c r="R9" i="7"/>
  <c r="Q9" i="7"/>
  <c r="P9" i="7"/>
  <c r="O9" i="7"/>
  <c r="N9" i="7"/>
  <c r="S49" i="31"/>
  <c r="R49" i="31"/>
  <c r="Q49" i="31"/>
  <c r="P49" i="31"/>
  <c r="O49" i="31"/>
  <c r="N49" i="31"/>
  <c r="M49" i="31"/>
  <c r="L49" i="31"/>
  <c r="K49" i="31"/>
  <c r="J49" i="31"/>
  <c r="T37" i="31"/>
  <c r="S37" i="31"/>
  <c r="R37" i="31"/>
  <c r="P37" i="31"/>
  <c r="O37" i="31"/>
  <c r="N37" i="31"/>
  <c r="M37" i="31"/>
  <c r="L37" i="31"/>
  <c r="K37" i="31"/>
  <c r="J37" i="31"/>
  <c r="T20" i="31"/>
  <c r="S20" i="31"/>
  <c r="R20" i="31"/>
  <c r="Q20" i="31"/>
  <c r="P20" i="31"/>
  <c r="O20" i="31"/>
  <c r="N20" i="31"/>
  <c r="M20" i="31"/>
  <c r="L20" i="31"/>
  <c r="K20" i="31"/>
  <c r="J20" i="31"/>
  <c r="T10" i="31"/>
  <c r="S10" i="31"/>
  <c r="R10" i="31"/>
  <c r="Q10" i="31"/>
  <c r="P10" i="31"/>
  <c r="O10" i="31"/>
  <c r="N10" i="31"/>
  <c r="M10" i="31"/>
  <c r="L10" i="31"/>
  <c r="K10" i="31"/>
  <c r="J10" i="31"/>
  <c r="T53" i="31"/>
  <c r="S53" i="31"/>
  <c r="T52" i="31" s="1"/>
  <c r="R53" i="31"/>
  <c r="S52" i="31" s="1"/>
  <c r="Q53" i="31"/>
  <c r="R52" i="31" s="1"/>
  <c r="P53" i="31"/>
  <c r="Q52" i="31" s="1"/>
  <c r="O53" i="31"/>
  <c r="P52" i="31" s="1"/>
  <c r="N53" i="31"/>
  <c r="O52" i="31" s="1"/>
  <c r="M53" i="31"/>
  <c r="N52" i="31" s="1"/>
  <c r="L53" i="31"/>
  <c r="M52" i="31" s="1"/>
  <c r="K53" i="31"/>
  <c r="L52" i="31" s="1"/>
  <c r="J53" i="31"/>
  <c r="K52" i="31" s="1"/>
  <c r="X8" i="16"/>
  <c r="X15" i="16" s="1"/>
  <c r="X17" i="16" s="1"/>
  <c r="X19" i="16" s="1"/>
  <c r="X20" i="16" s="1"/>
  <c r="W8" i="16"/>
  <c r="W15" i="16" s="1"/>
  <c r="W17" i="16" s="1"/>
  <c r="W19" i="16" s="1"/>
  <c r="W20" i="16" s="1"/>
  <c r="V8" i="16"/>
  <c r="V15" i="16" s="1"/>
  <c r="V17" i="16" s="1"/>
  <c r="V19" i="16" s="1"/>
  <c r="V20" i="16" s="1"/>
  <c r="U8" i="16"/>
  <c r="U15" i="16" s="1"/>
  <c r="U17" i="16" s="1"/>
  <c r="U19" i="16" s="1"/>
  <c r="U20" i="16" s="1"/>
  <c r="T8" i="16"/>
  <c r="T15" i="16" s="1"/>
  <c r="T17" i="16" s="1"/>
  <c r="T19" i="16" s="1"/>
  <c r="T20" i="16" s="1"/>
  <c r="S8" i="16"/>
  <c r="S15" i="16" s="1"/>
  <c r="S17" i="16" s="1"/>
  <c r="S19" i="16" s="1"/>
  <c r="S20" i="16" s="1"/>
  <c r="R8" i="16"/>
  <c r="R15" i="16" s="1"/>
  <c r="R17" i="16" s="1"/>
  <c r="R19" i="16" s="1"/>
  <c r="R20" i="16" s="1"/>
  <c r="Q8" i="16"/>
  <c r="Q15" i="16" s="1"/>
  <c r="Q17" i="16" s="1"/>
  <c r="Q19" i="16" s="1"/>
  <c r="Q20" i="16" s="1"/>
  <c r="P8" i="16"/>
  <c r="P15" i="16" s="1"/>
  <c r="P17" i="16" s="1"/>
  <c r="P19" i="16" s="1"/>
  <c r="P20" i="16" s="1"/>
  <c r="O8" i="16"/>
  <c r="O15" i="16" s="1"/>
  <c r="O17" i="16" s="1"/>
  <c r="O19" i="16" s="1"/>
  <c r="O20" i="16" s="1"/>
  <c r="N8" i="16"/>
  <c r="N15" i="16" s="1"/>
  <c r="N17" i="16" s="1"/>
  <c r="N19" i="16" s="1"/>
  <c r="N20" i="16" s="1"/>
  <c r="P10" i="22"/>
  <c r="P7" i="22"/>
  <c r="P14" i="22"/>
  <c r="P13" i="22" s="1"/>
  <c r="Q16" i="20"/>
  <c r="X19" i="15"/>
  <c r="X17" i="15"/>
  <c r="X13" i="15"/>
  <c r="X15" i="15"/>
  <c r="X14" i="15"/>
  <c r="X12" i="15"/>
  <c r="X10" i="15"/>
  <c r="X7" i="15"/>
  <c r="T22" i="19"/>
  <c r="W7" i="7"/>
  <c r="W13" i="7"/>
  <c r="W11" i="7" s="1"/>
  <c r="W9" i="7" s="1"/>
  <c r="W14" i="7"/>
  <c r="W15" i="7"/>
  <c r="W19" i="7"/>
  <c r="X14" i="28"/>
  <c r="X16" i="17"/>
  <c r="X30" i="17"/>
  <c r="X48" i="17"/>
  <c r="X60" i="17"/>
  <c r="X71" i="17"/>
  <c r="X10" i="16"/>
  <c r="W14" i="28"/>
  <c r="P16" i="20"/>
  <c r="W71" i="17"/>
  <c r="W60" i="17"/>
  <c r="W48" i="17"/>
  <c r="W30" i="17"/>
  <c r="W13" i="15"/>
  <c r="W19" i="15"/>
  <c r="W17" i="15"/>
  <c r="W18" i="15" s="1"/>
  <c r="W20" i="15" s="1"/>
  <c r="W21" i="15" s="1"/>
  <c r="O14" i="22"/>
  <c r="O13" i="22" s="1"/>
  <c r="O7" i="22"/>
  <c r="W10" i="16"/>
  <c r="U33" i="31" l="1"/>
  <c r="J33" i="31"/>
  <c r="J51" i="31" s="1"/>
  <c r="R33" i="31"/>
  <c r="R51" i="31" s="1"/>
  <c r="P33" i="31"/>
  <c r="V33" i="31"/>
  <c r="V51" i="31" s="1"/>
  <c r="M33" i="31"/>
  <c r="M51" i="31" s="1"/>
  <c r="Q17" i="22"/>
  <c r="Y73" i="17"/>
  <c r="U51" i="31"/>
  <c r="K33" i="31"/>
  <c r="K51" i="31" s="1"/>
  <c r="S33" i="31"/>
  <c r="S51" i="31" s="1"/>
  <c r="N33" i="31"/>
  <c r="N51" i="31" s="1"/>
  <c r="L33" i="31"/>
  <c r="L51" i="31" s="1"/>
  <c r="T33" i="31"/>
  <c r="T51" i="31" s="1"/>
  <c r="Q33" i="31"/>
  <c r="O33" i="31"/>
  <c r="O51" i="31" s="1"/>
  <c r="Z73" i="17"/>
  <c r="Y9" i="15"/>
  <c r="Y9" i="7"/>
  <c r="Y16" i="7" s="1"/>
  <c r="Y18" i="7" s="1"/>
  <c r="Y20" i="7" s="1"/>
  <c r="Y21" i="7" s="1"/>
  <c r="R16" i="20"/>
  <c r="U22" i="19"/>
  <c r="U16" i="19"/>
  <c r="X32" i="17"/>
  <c r="P51" i="31"/>
  <c r="W73" i="17"/>
  <c r="P6" i="22"/>
  <c r="P17" i="22" s="1"/>
  <c r="Q22" i="20"/>
  <c r="X11" i="15"/>
  <c r="T16" i="19"/>
  <c r="X11" i="7"/>
  <c r="X9" i="7" s="1"/>
  <c r="X73" i="17"/>
  <c r="P22" i="20"/>
  <c r="S22" i="19"/>
  <c r="S16" i="19"/>
  <c r="W16" i="17"/>
  <c r="W32" i="17" s="1"/>
  <c r="O6" i="22"/>
  <c r="O17" i="22" s="1"/>
  <c r="Y16" i="15" l="1"/>
  <c r="O22" i="20"/>
  <c r="O16" i="20"/>
  <c r="V11" i="15"/>
  <c r="R22" i="19"/>
  <c r="R16" i="19"/>
  <c r="V11" i="7"/>
  <c r="V9" i="7" s="1"/>
  <c r="V14" i="28"/>
  <c r="N13" i="22"/>
  <c r="N10" i="22"/>
  <c r="N6" i="22" s="1"/>
  <c r="N17" i="22" s="1"/>
  <c r="V71" i="17"/>
  <c r="V60" i="17"/>
  <c r="V48" i="17"/>
  <c r="Y18" i="15" l="1"/>
  <c r="V73" i="17"/>
  <c r="V32" i="17"/>
  <c r="Y20" i="15" l="1"/>
  <c r="N16" i="20"/>
  <c r="E71" i="17"/>
  <c r="E56" i="17"/>
  <c r="E60" i="17" s="1"/>
  <c r="E44" i="17"/>
  <c r="E48" i="17" s="1"/>
  <c r="E30" i="17"/>
  <c r="E16" i="17"/>
  <c r="Y21" i="15" l="1"/>
  <c r="Q37" i="31"/>
  <c r="Q51" i="31" s="1"/>
  <c r="E32" i="17"/>
  <c r="E73" i="17"/>
  <c r="D3" i="30" l="1"/>
  <c r="Z9" i="15"/>
  <c r="Z16" i="15" s="1"/>
  <c r="Z18" i="15" s="1"/>
  <c r="Z20" i="15" s="1"/>
  <c r="Z21" i="15" s="1"/>
</calcChain>
</file>

<file path=xl/sharedStrings.xml><?xml version="1.0" encoding="utf-8"?>
<sst xmlns="http://schemas.openxmlformats.org/spreadsheetml/2006/main" count="498" uniqueCount="214">
  <si>
    <t>Historical Series</t>
  </si>
  <si>
    <t>Pro forma de aquisições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</si>
  <si>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</si>
  <si>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</si>
  <si>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</si>
  <si>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</si>
  <si>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</si>
  <si>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</si>
  <si>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</si>
  <si>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</si>
  <si>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</si>
  <si>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</si>
  <si>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</si>
  <si>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</si>
  <si>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</si>
  <si>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</si>
  <si>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</si>
  <si>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</si>
  <si>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Take Rate</t>
  </si>
  <si>
    <t>CVC</t>
  </si>
  <si>
    <t>Experimento</t>
  </si>
  <si>
    <t>Argentina</t>
  </si>
  <si>
    <t>Almundo</t>
  </si>
  <si>
    <t>Total CVC Corp</t>
  </si>
  <si>
    <t/>
  </si>
  <si>
    <t>1S20</t>
  </si>
  <si>
    <t>9M20</t>
  </si>
  <si>
    <t>1S21</t>
  </si>
  <si>
    <t>9M21</t>
  </si>
  <si>
    <t>-</t>
  </si>
  <si>
    <t>B2C</t>
  </si>
  <si>
    <t>B2B</t>
  </si>
  <si>
    <t xml:space="preserve"> - </t>
  </si>
  <si>
    <t>¹</t>
  </si>
  <si>
    <t>Main indicators | Brazil</t>
  </si>
  <si>
    <t>R$ million</t>
  </si>
  <si>
    <t>Gross Bookings</t>
  </si>
  <si>
    <t>Consumed Bookings</t>
  </si>
  <si>
    <t>General and administrative expenses</t>
  </si>
  <si>
    <t>Sales expenses</t>
  </si>
  <si>
    <t>Non-Recurring Items</t>
  </si>
  <si>
    <t>Discounted receivables</t>
  </si>
  <si>
    <t>Financial Results</t>
  </si>
  <si>
    <t>Financial Expenses</t>
  </si>
  <si>
    <t>Financial charges</t>
  </si>
  <si>
    <t>Interest on acquisitions</t>
  </si>
  <si>
    <t>Taxes on banking transactions</t>
  </si>
  <si>
    <t xml:space="preserve">Interest on Advance of Receivables </t>
  </si>
  <si>
    <t>Interest on Agreements (IFRS 16)</t>
  </si>
  <si>
    <t>Other expenses</t>
  </si>
  <si>
    <t>Financial Revenues</t>
  </si>
  <si>
    <t>Yield from interest earning bank deposits</t>
  </si>
  <si>
    <t>Interest from receivables</t>
  </si>
  <si>
    <t>Interest from judicial deposits</t>
  </si>
  <si>
    <t>Other revenues</t>
  </si>
  <si>
    <t>Exchange rate. net</t>
  </si>
  <si>
    <t>Financial Result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</si>
  <si>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</si>
  <si>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</si>
  <si>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</si>
  <si>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</si>
  <si>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</si>
  <si>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</si>
  <si>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</si>
  <si>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</si>
  <si>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</si>
  <si>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</si>
  <si>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</si>
  <si>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Number of Stores | CVC Corp</t>
  </si>
  <si>
    <t>Brazil</t>
  </si>
  <si>
    <t>Own stores</t>
  </si>
  <si>
    <t xml:space="preserve">Franchises </t>
  </si>
  <si>
    <t>Statement of Income | CVC Corp</t>
  </si>
  <si>
    <t>Net Revenue</t>
  </si>
  <si>
    <t>Operating Income/Expenses</t>
  </si>
  <si>
    <t>Depreciation and amortization</t>
  </si>
  <si>
    <t>Equity in investments</t>
  </si>
  <si>
    <t>Other operating income</t>
  </si>
  <si>
    <t>Income (loss) before financial result</t>
  </si>
  <si>
    <t>Financial income/expenses</t>
  </si>
  <si>
    <t>Income (loss) before taxes and social contribution</t>
  </si>
  <si>
    <t>Tax and Social Contribution</t>
  </si>
  <si>
    <t>Net Income (Loss)</t>
  </si>
  <si>
    <t>Attributable to controlling shareholders</t>
  </si>
  <si>
    <t>Attributable to non controlling shareholders</t>
  </si>
  <si>
    <t>Balance Sheet | CVC Corp</t>
  </si>
  <si>
    <t>ASSET</t>
  </si>
  <si>
    <t>Current Assets</t>
  </si>
  <si>
    <t>Cash &amp; Cash Equivalents</t>
  </si>
  <si>
    <t>Financial Investments</t>
  </si>
  <si>
    <t>Derivative Instruments</t>
  </si>
  <si>
    <t>Accounts Receivable</t>
  </si>
  <si>
    <t>Advances  to Suppliers</t>
  </si>
  <si>
    <t>Prepaid Expenses</t>
  </si>
  <si>
    <t>Recoverable Taxes</t>
  </si>
  <si>
    <t>Other Accounts Receivable</t>
  </si>
  <si>
    <t>Total Current Assets</t>
  </si>
  <si>
    <t>Non-Current Assets</t>
  </si>
  <si>
    <t>Accounts receivable from customers</t>
  </si>
  <si>
    <t>Invested accounts receivable - Related Party</t>
  </si>
  <si>
    <t>Deferred Taxes</t>
  </si>
  <si>
    <t>Judicial Deposit</t>
  </si>
  <si>
    <t xml:space="preserve">Other </t>
  </si>
  <si>
    <t>Investments</t>
  </si>
  <si>
    <t>Fixed Assets</t>
  </si>
  <si>
    <t>Intangible Assets</t>
  </si>
  <si>
    <t>Right of Use Assets</t>
  </si>
  <si>
    <t>Total Non-Current Assets</t>
  </si>
  <si>
    <t>Total Assets</t>
  </si>
  <si>
    <t>LIABILITIES AND SHAREHOLDER´S EQUITY</t>
  </si>
  <si>
    <t>Current Liabilities</t>
  </si>
  <si>
    <t>Loans and financings</t>
  </si>
  <si>
    <t>Debentures</t>
  </si>
  <si>
    <t>Financial Instruments</t>
  </si>
  <si>
    <t>Suppliers</t>
  </si>
  <si>
    <t>Advanced of travel agreements</t>
  </si>
  <si>
    <t>Salaries &amp; Social Charges</t>
  </si>
  <si>
    <t>Taxes and social contribution current</t>
  </si>
  <si>
    <t>Taxes Payable and Contribution</t>
  </si>
  <si>
    <t>Accounts Payable - Acquisition of Subsidiary and Investee</t>
  </si>
  <si>
    <t>Lease liabilities</t>
  </si>
  <si>
    <t>Other</t>
  </si>
  <si>
    <t>Total Current Liabilities</t>
  </si>
  <si>
    <t>Non-Current Liabilities</t>
  </si>
  <si>
    <t>Deferred Tax Liabilities</t>
  </si>
  <si>
    <t>Payable Tax Liabilities</t>
  </si>
  <si>
    <t>Provision for Legal Claims</t>
  </si>
  <si>
    <t>Liabilities of leasing</t>
  </si>
  <si>
    <t>Total Non-Current Liabilities</t>
  </si>
  <si>
    <t>Shareholders' Equity</t>
  </si>
  <si>
    <t>Capital Stock</t>
  </si>
  <si>
    <t>Capital Reserve</t>
  </si>
  <si>
    <t>Goodwill on Capital Transaction</t>
  </si>
  <si>
    <t>Profit reserve</t>
  </si>
  <si>
    <t>Other Comprehensive Income (loss)</t>
  </si>
  <si>
    <t>Treasury shares</t>
  </si>
  <si>
    <t>Retained earnings</t>
  </si>
  <si>
    <t>Non-controlling interests</t>
  </si>
  <si>
    <t>Total Shareholders' Equity</t>
  </si>
  <si>
    <t>TotalLiabilities and Shareholders' Equity</t>
  </si>
  <si>
    <t>Dividends</t>
  </si>
  <si>
    <t>Cash Flow - Indirect Method | CVC Corp</t>
  </si>
  <si>
    <t>Management View</t>
  </si>
  <si>
    <t>Choose the scenarios</t>
  </si>
  <si>
    <t>(Income/ loss) before income tax and social contribution</t>
  </si>
  <si>
    <t>Adjustments to reconcile income (loss) for the period with cash from operating activities</t>
  </si>
  <si>
    <t>Impairment loss of accounts receivable</t>
  </si>
  <si>
    <t>Interest and inflation adjustments and exchange-rate changes</t>
  </si>
  <si>
    <t>Provisions (reversal) for lawsuits and proceedings</t>
  </si>
  <si>
    <t>Changes in fair value of the call option</t>
  </si>
  <si>
    <t>Impairment of Submarino Viagens</t>
  </si>
  <si>
    <t>Write-off of property, plant and equipment, intangible assets and lease contracts</t>
  </si>
  <si>
    <t>Other provisions</t>
  </si>
  <si>
    <t>Decrease (increase) in assets and liabilities</t>
  </si>
  <si>
    <t>Trade accounts receivable</t>
  </si>
  <si>
    <t>Advances to suppliers</t>
  </si>
  <si>
    <t>Advanced travel agreements of tour packages</t>
  </si>
  <si>
    <t>Changes in taxes recoverable/payable</t>
  </si>
  <si>
    <t>Settlement of financial instruments</t>
  </si>
  <si>
    <t>Salaries and social charges</t>
  </si>
  <si>
    <t>Income tax and social contribution paid</t>
  </si>
  <si>
    <t>Lawsuits and proceedings</t>
  </si>
  <si>
    <t>Changes in other assets</t>
  </si>
  <si>
    <t>Changes in other liabilities</t>
  </si>
  <si>
    <t>Net cash Flow from operating activities</t>
  </si>
  <si>
    <t>Property, plant and equipment</t>
  </si>
  <si>
    <t>Intangible assets</t>
  </si>
  <si>
    <t xml:space="preserve">Acquisitions of subsidiaries and investees </t>
  </si>
  <si>
    <t>Net cash invested in investment activities (Capex)</t>
  </si>
  <si>
    <t>Raising of debentures and loans</t>
  </si>
  <si>
    <t>Settlement of debentures and loans</t>
  </si>
  <si>
    <t xml:space="preserve">Capital increase </t>
  </si>
  <si>
    <t>Interest paid</t>
  </si>
  <si>
    <t>Settlement of derivative instruments</t>
  </si>
  <si>
    <t>Dividends paid</t>
  </si>
  <si>
    <t>Acquisition of own shares</t>
  </si>
  <si>
    <t>Exercise of options with the sale of treasury shares</t>
  </si>
  <si>
    <t>Acquisition of subsidiaries</t>
  </si>
  <si>
    <t>Payment of lease - IFRS16</t>
  </si>
  <si>
    <t>Net cash (invested in) from financing activities</t>
  </si>
  <si>
    <t>Exchange-rate change and cash and cash equivalents</t>
  </si>
  <si>
    <t>Increase (decrease) in cash and cash equivalents, net</t>
  </si>
  <si>
    <t>Cash and cash equivalents at the beginning of the period</t>
  </si>
  <si>
    <t>Cash and cash equivalents at the end of the period</t>
  </si>
  <si>
    <t>Advance of receivables (net)</t>
  </si>
  <si>
    <t>Pax (in thousand)</t>
  </si>
  <si>
    <t>Average ticket (in R$)</t>
  </si>
  <si>
    <t>Other Operating Income/Expenses</t>
  </si>
  <si>
    <t>2Q22</t>
  </si>
  <si>
    <t>3Q22</t>
  </si>
  <si>
    <t>4Q22</t>
  </si>
  <si>
    <t>Statement of Income | Brazil</t>
  </si>
  <si>
    <t>Asset and Liabilities by segment | Brazil</t>
  </si>
  <si>
    <t>ASSETS</t>
  </si>
  <si>
    <t>Goodwill</t>
  </si>
  <si>
    <t>Fixed asset</t>
  </si>
  <si>
    <t>Intangible asset</t>
  </si>
  <si>
    <t>Expenses paid in advance</t>
  </si>
  <si>
    <t>Right to use lease</t>
  </si>
  <si>
    <t>Other assets by segment</t>
  </si>
  <si>
    <t>LIABILITIES</t>
  </si>
  <si>
    <t>Contracts to be shipped early</t>
  </si>
  <si>
    <t>Other liabilities per segment</t>
  </si>
  <si>
    <t>Main indicators | Argentina</t>
  </si>
  <si>
    <t>Statement of Income | Argentina</t>
  </si>
  <si>
    <t>Asset and Liabilities by segment | Argentina</t>
  </si>
  <si>
    <t>Other liabilities by segment</t>
  </si>
  <si>
    <t>Historical Spreadsheet</t>
  </si>
  <si>
    <t>Unaudited Information</t>
  </si>
  <si>
    <t>4Q25</t>
  </si>
  <si>
    <t>4T25</t>
  </si>
  <si>
    <t>1Q26</t>
  </si>
  <si>
    <t>1T26</t>
  </si>
  <si>
    <t>2022 - 2026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</si>
</sst>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_-;\-* #,##0.0_-;_-* &quot;-&quot;??_-;_-@_-"/>
    <numFmt numFmtId="167" formatCode="_(* #,##0_);_(* \(#,##0\);_(* &quot;-&quot;??_);_(@_)"/>
    <numFmt numFmtId="168" formatCode="_(* #,##0.0_);_(* \(#,##0.0\);_(* &quot;-&quot;??_);_(@_)"/>
    <numFmt numFmtId="169" formatCode="_(* #,##0.0_);_(* \(#,##0.0\);_(* &quot;-&quot;_);_(@_)"/>
    <numFmt numFmtId="170" formatCode="_(* #,##0.000_);_(* \(#,##0.000\);_(* &quot;-&quot;??_);_(@_)"/>
    <numFmt numFmtId="171" formatCode="#,###.0;\(#,###.0\)"/>
    <numFmt numFmtId="172" formatCode="#,###;\(#,###\)"/>
    <numFmt numFmtId="173" formatCode="0.0%"/>
    <numFmt numFmtId="174" formatCode="#,##0.0_);\(#,##0.0\)"/>
    <numFmt numFmtId="175" formatCode="_-* #,##0.0_-;\-* #,##0.0_-;_-* &quot;-&quot;?_-;_-@_-"/>
    <numFmt numFmtId="176" formatCode="#,##0.0"/>
  </numFmts>
  <fonts count="41">
    <font>
      <sz val="11"/>
      <color theme="1"/>
      <name val="Myriad Pro Light"/>
      <family val="2"/>
      <scheme val="minor"/>
    </font>
    <font>
      <sz val="11"/>
      <color theme="1"/>
      <name val="Myriad Pro Light"/>
      <family val="2"/>
      <scheme val="minor"/>
    </font>
    <font>
      <sz val="9"/>
      <color theme="1"/>
      <name val="Myriad Pro Light"/>
      <family val="2"/>
      <scheme val="minor"/>
    </font>
    <font>
      <sz val="10"/>
      <name val="Arial"/>
      <family val="2"/>
    </font>
    <font>
      <sz val="11"/>
      <color theme="0"/>
      <name val="Segoe UI"/>
      <family val="2"/>
    </font>
    <font>
      <sz val="11"/>
      <color theme="1"/>
      <name val="Segoe UI"/>
      <family val="2"/>
    </font>
    <font>
      <sz val="12"/>
      <color theme="0"/>
      <name val="Segoe UI"/>
      <family val="2"/>
    </font>
    <font>
      <b/>
      <sz val="14"/>
      <color theme="1"/>
      <name val="Segoe UI"/>
      <family val="2"/>
    </font>
    <font>
      <sz val="10"/>
      <color theme="1"/>
      <name val="Segoe UI"/>
      <family val="2"/>
    </font>
    <font>
      <sz val="12"/>
      <color theme="1"/>
      <name val="Segoe UI"/>
      <family val="2"/>
    </font>
    <font>
      <b/>
      <sz val="18"/>
      <color theme="0"/>
      <name val="Segoe UI"/>
      <family val="2"/>
    </font>
    <font>
      <sz val="18"/>
      <color theme="1"/>
      <name val="Segoe UI"/>
      <family val="2"/>
    </font>
    <font>
      <b/>
      <sz val="9"/>
      <color rgb="FF0070C0"/>
      <name val="Myriad Pro Light"/>
      <family val="2"/>
      <scheme val="minor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1" tint="0.249977111117893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i/>
      <sz val="9"/>
      <name val="Segoe UI"/>
      <family val="2"/>
    </font>
    <font>
      <b/>
      <sz val="9"/>
      <name val="Segoe UI"/>
      <family val="2"/>
    </font>
    <font>
      <b/>
      <sz val="10"/>
      <color rgb="FF298CED"/>
      <name val="Segoe UI"/>
      <family val="2"/>
    </font>
    <font>
      <b/>
      <sz val="12"/>
      <color rgb="FF002060"/>
      <name val="Segoe UI"/>
      <family val="2"/>
    </font>
    <font>
      <b/>
      <sz val="11"/>
      <name val="Segoe UI"/>
      <family val="2"/>
    </font>
    <font>
      <b/>
      <sz val="11"/>
      <color rgb="FF298CED"/>
      <name val="Segoe UI"/>
      <family val="2"/>
    </font>
    <font>
      <sz val="10"/>
      <color rgb="FF000000"/>
      <name val="Segoe UI"/>
      <family val="2"/>
    </font>
    <font>
      <b/>
      <sz val="10"/>
      <color rgb="FFFFFFFF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 UI"/>
    </font>
    <font>
      <b/>
      <sz val="10"/>
      <color rgb="FFFF0000"/>
      <name val="Segoe UI"/>
      <family val="2"/>
    </font>
    <font>
      <sz val="9"/>
      <name val="Segoe UI"/>
      <family val="2"/>
    </font>
    <font>
      <sz val="11"/>
      <name val="Segoe UI"/>
      <family val="2"/>
    </font>
    <font>
      <sz val="9"/>
      <color theme="1" tint="0.249977111117893"/>
      <name val="Segoe UI"/>
      <family val="2"/>
    </font>
    <font>
      <sz val="9"/>
      <color rgb="FFFF0000"/>
      <name val="Segoe UI"/>
      <family val="2"/>
    </font>
    <font>
      <sz val="11"/>
      <color rgb="FFFF0000"/>
      <name val="Myriad Pro Light"/>
      <family val="2"/>
      <scheme val="minor"/>
    </font>
    <font>
      <sz val="9"/>
      <color rgb="FFFF0000"/>
      <name val="Myriad Pro Light"/>
      <family val="2"/>
      <scheme val="minor"/>
    </font>
    <font>
      <sz val="8"/>
      <name val="Myriad Pro Light"/>
      <family val="2"/>
      <scheme val="minor"/>
    </font>
    <font>
      <b/>
      <i/>
      <sz val="10"/>
      <color theme="1"/>
      <name val="Segoe UI"/>
      <family val="2"/>
    </font>
    <font>
      <b/>
      <sz val="10.5"/>
      <color rgb="FF165D81"/>
      <name val="Calibri"/>
      <family val="2"/>
    </font>
    <font>
      <sz val="3"/>
      <color theme="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98D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/>
      <right/>
      <top/>
      <bottom style="thin">
        <color rgb="FFFFC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0" borderId="12">
      <alignment horizontal="left" vertical="center"/>
    </xf>
    <xf numFmtId="43" fontId="1" fillId="0" borderId="0" applyFont="0" applyFill="0" applyBorder="0" applyAlignment="0" applyProtection="0"/>
  </cellStyleXfs>
  <cellXfs count="182">
    <xf numFmtId="0" fontId="0" fillId="0" borderId="0" xfId="0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167" fontId="13" fillId="0" borderId="0" xfId="1" applyNumberFormat="1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7" fontId="15" fillId="6" borderId="1" xfId="1" applyNumberFormat="1" applyFont="1" applyFill="1" applyBorder="1" applyAlignment="1">
      <alignment horizontal="left" vertical="center"/>
    </xf>
    <xf numFmtId="167" fontId="16" fillId="5" borderId="0" xfId="1" applyNumberFormat="1" applyFont="1" applyFill="1" applyBorder="1" applyAlignment="1">
      <alignment horizontal="left" vertical="center" wrapText="1"/>
    </xf>
    <xf numFmtId="167" fontId="8" fillId="0" borderId="0" xfId="1" applyNumberFormat="1" applyFont="1" applyFill="1" applyBorder="1" applyAlignment="1">
      <alignment horizontal="left" vertical="center" wrapText="1"/>
    </xf>
    <xf numFmtId="167" fontId="8" fillId="5" borderId="0" xfId="1" applyNumberFormat="1" applyFont="1" applyFill="1" applyBorder="1" applyAlignment="1">
      <alignment horizontal="left" vertical="center" wrapText="1" indent="1"/>
    </xf>
    <xf numFmtId="167" fontId="8" fillId="5" borderId="0" xfId="1" applyNumberFormat="1" applyFont="1" applyFill="1" applyBorder="1" applyAlignment="1">
      <alignment horizontal="left" vertical="center" wrapText="1"/>
    </xf>
    <xf numFmtId="167" fontId="17" fillId="5" borderId="2" xfId="1" applyNumberFormat="1" applyFont="1" applyFill="1" applyBorder="1" applyAlignment="1">
      <alignment horizontal="left" vertical="center"/>
    </xf>
    <xf numFmtId="168" fontId="15" fillId="6" borderId="0" xfId="1" applyNumberFormat="1" applyFont="1" applyFill="1" applyBorder="1" applyAlignment="1">
      <alignment horizontal="center" vertical="center"/>
    </xf>
    <xf numFmtId="168" fontId="8" fillId="0" borderId="0" xfId="1" applyNumberFormat="1" applyFont="1" applyFill="1" applyBorder="1" applyAlignment="1">
      <alignment horizontal="center" vertical="center"/>
    </xf>
    <xf numFmtId="168" fontId="8" fillId="5" borderId="0" xfId="1" applyNumberFormat="1" applyFont="1" applyFill="1" applyBorder="1" applyAlignment="1">
      <alignment horizontal="center" vertical="center"/>
    </xf>
    <xf numFmtId="168" fontId="17" fillId="5" borderId="0" xfId="1" applyNumberFormat="1" applyFont="1" applyFill="1" applyBorder="1" applyAlignment="1">
      <alignment horizontal="center" vertical="center"/>
    </xf>
    <xf numFmtId="168" fontId="17" fillId="5" borderId="0" xfId="1" applyNumberFormat="1" applyFont="1" applyFill="1" applyBorder="1" applyAlignment="1">
      <alignment horizontal="right" vertical="center"/>
    </xf>
    <xf numFmtId="168" fontId="20" fillId="0" borderId="0" xfId="1" applyNumberFormat="1" applyFont="1" applyFill="1" applyBorder="1" applyAlignment="1">
      <alignment horizontal="left" vertical="center"/>
    </xf>
    <xf numFmtId="168" fontId="21" fillId="0" borderId="0" xfId="1" applyNumberFormat="1" applyFont="1" applyFill="1" applyBorder="1" applyAlignment="1">
      <alignment horizontal="right" vertical="center"/>
    </xf>
    <xf numFmtId="0" fontId="19" fillId="4" borderId="0" xfId="0" applyFont="1" applyFill="1" applyAlignment="1">
      <alignment horizontal="right" vertical="center" wrapText="1"/>
    </xf>
    <xf numFmtId="0" fontId="22" fillId="4" borderId="0" xfId="0" applyFont="1" applyFill="1" applyAlignment="1">
      <alignment horizontal="right" vertical="center" wrapText="1"/>
    </xf>
    <xf numFmtId="168" fontId="23" fillId="0" borderId="0" xfId="1" applyNumberFormat="1" applyFont="1" applyFill="1" applyBorder="1" applyAlignment="1">
      <alignment horizontal="left" vertical="center"/>
    </xf>
    <xf numFmtId="0" fontId="2" fillId="3" borderId="3" xfId="0" applyFont="1" applyFill="1" applyBorder="1"/>
    <xf numFmtId="164" fontId="2" fillId="3" borderId="3" xfId="1" applyNumberFormat="1" applyFont="1" applyFill="1" applyBorder="1"/>
    <xf numFmtId="0" fontId="2" fillId="7" borderId="0" xfId="0" applyFont="1" applyFill="1"/>
    <xf numFmtId="164" fontId="2" fillId="7" borderId="0" xfId="1" applyNumberFormat="1" applyFont="1" applyFill="1"/>
    <xf numFmtId="0" fontId="24" fillId="4" borderId="0" xfId="0" applyFont="1" applyFill="1" applyAlignment="1">
      <alignment horizontal="right" vertical="center" wrapText="1"/>
    </xf>
    <xf numFmtId="0" fontId="25" fillId="4" borderId="0" xfId="0" applyFont="1" applyFill="1" applyAlignment="1">
      <alignment horizontal="right" vertical="center" wrapText="1"/>
    </xf>
    <xf numFmtId="168" fontId="13" fillId="0" borderId="0" xfId="1" applyNumberFormat="1" applyFont="1" applyFill="1" applyAlignment="1">
      <alignment horizontal="center" vertical="center"/>
    </xf>
    <xf numFmtId="0" fontId="15" fillId="8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6" fillId="5" borderId="0" xfId="0" applyFont="1" applyFill="1" applyAlignment="1">
      <alignment vertical="center" wrapText="1"/>
    </xf>
    <xf numFmtId="0" fontId="8" fillId="0" borderId="0" xfId="0" applyFont="1"/>
    <xf numFmtId="0" fontId="15" fillId="0" borderId="0" xfId="0" applyFont="1" applyAlignment="1">
      <alignment vertical="center" wrapText="1"/>
    </xf>
    <xf numFmtId="0" fontId="28" fillId="0" borderId="0" xfId="0" applyFont="1"/>
    <xf numFmtId="166" fontId="8" fillId="0" borderId="0" xfId="4" applyNumberFormat="1" applyFont="1" applyFill="1" applyBorder="1" applyAlignment="1">
      <alignment horizontal="left" vertical="center"/>
    </xf>
    <xf numFmtId="166" fontId="27" fillId="4" borderId="0" xfId="4" applyNumberFormat="1" applyFont="1" applyFill="1" applyBorder="1" applyAlignment="1">
      <alignment horizontal="left" vertical="center"/>
    </xf>
    <xf numFmtId="166" fontId="26" fillId="0" borderId="0" xfId="4" applyNumberFormat="1" applyFont="1" applyFill="1" applyBorder="1" applyAlignment="1">
      <alignment horizontal="left" vertical="center"/>
    </xf>
    <xf numFmtId="0" fontId="18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29" fillId="0" borderId="0" xfId="0" applyFont="1"/>
    <xf numFmtId="14" fontId="25" fillId="4" borderId="0" xfId="0" applyNumberFormat="1" applyFont="1" applyFill="1" applyAlignment="1">
      <alignment horizontal="right" vertical="center" wrapText="1"/>
    </xf>
    <xf numFmtId="14" fontId="24" fillId="4" borderId="0" xfId="0" applyNumberFormat="1" applyFont="1" applyFill="1" applyAlignment="1">
      <alignment horizontal="right" vertical="center" wrapText="1"/>
    </xf>
    <xf numFmtId="169" fontId="8" fillId="0" borderId="0" xfId="4" applyNumberFormat="1" applyFont="1" applyFill="1" applyBorder="1" applyAlignment="1">
      <alignment vertical="center"/>
    </xf>
    <xf numFmtId="169" fontId="8" fillId="4" borderId="0" xfId="4" applyNumberFormat="1" applyFont="1" applyFill="1" applyBorder="1" applyAlignment="1">
      <alignment vertical="center"/>
    </xf>
    <xf numFmtId="169" fontId="30" fillId="4" borderId="0" xfId="4" applyNumberFormat="1" applyFont="1" applyFill="1" applyBorder="1" applyAlignment="1">
      <alignment horizontal="right" vertical="center"/>
    </xf>
    <xf numFmtId="169" fontId="19" fillId="8" borderId="0" xfId="0" applyNumberFormat="1" applyFont="1" applyFill="1" applyAlignment="1">
      <alignment horizontal="center" vertical="center"/>
    </xf>
    <xf numFmtId="169" fontId="19" fillId="8" borderId="0" xfId="1" applyNumberFormat="1" applyFont="1" applyFill="1" applyBorder="1" applyAlignment="1">
      <alignment horizontal="center" vertical="center"/>
    </xf>
    <xf numFmtId="169" fontId="8" fillId="4" borderId="0" xfId="0" applyNumberFormat="1" applyFont="1" applyFill="1" applyAlignment="1">
      <alignment vertical="center"/>
    </xf>
    <xf numFmtId="169" fontId="0" fillId="0" borderId="0" xfId="0" applyNumberFormat="1"/>
    <xf numFmtId="169" fontId="8" fillId="0" borderId="0" xfId="4" applyNumberFormat="1" applyFont="1" applyFill="1" applyBorder="1" applyAlignment="1">
      <alignment horizontal="right" vertical="center"/>
    </xf>
    <xf numFmtId="167" fontId="13" fillId="0" borderId="0" xfId="1" applyNumberFormat="1" applyFont="1" applyFill="1" applyAlignment="1">
      <alignment horizontal="right" vertical="center"/>
    </xf>
    <xf numFmtId="164" fontId="2" fillId="3" borderId="3" xfId="1" applyNumberFormat="1" applyFont="1" applyFill="1" applyBorder="1" applyAlignment="1">
      <alignment horizontal="right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169" fontId="19" fillId="8" borderId="0" xfId="0" applyNumberFormat="1" applyFont="1" applyFill="1" applyAlignment="1">
      <alignment horizontal="right" vertical="center"/>
    </xf>
    <xf numFmtId="169" fontId="19" fillId="8" borderId="0" xfId="1" applyNumberFormat="1" applyFont="1" applyFill="1" applyBorder="1" applyAlignment="1">
      <alignment horizontal="right" vertical="center"/>
    </xf>
    <xf numFmtId="169" fontId="8" fillId="4" borderId="0" xfId="4" applyNumberFormat="1" applyFont="1" applyFill="1" applyBorder="1" applyAlignment="1">
      <alignment horizontal="right" vertical="center"/>
    </xf>
    <xf numFmtId="169" fontId="0" fillId="0" borderId="0" xfId="0" applyNumberFormat="1" applyAlignment="1">
      <alignment horizontal="right"/>
    </xf>
    <xf numFmtId="164" fontId="2" fillId="7" borderId="0" xfId="1" applyNumberFormat="1" applyFont="1" applyFill="1" applyAlignment="1">
      <alignment horizontal="right"/>
    </xf>
    <xf numFmtId="168" fontId="13" fillId="0" borderId="0" xfId="1" applyNumberFormat="1" applyFont="1" applyFill="1" applyAlignment="1">
      <alignment horizontal="right" vertical="center"/>
    </xf>
    <xf numFmtId="167" fontId="15" fillId="8" borderId="0" xfId="4" applyNumberFormat="1" applyFont="1" applyFill="1" applyBorder="1" applyAlignment="1">
      <alignment horizontal="left" vertical="center"/>
    </xf>
    <xf numFmtId="167" fontId="8" fillId="8" borderId="0" xfId="4" applyNumberFormat="1" applyFont="1" applyFill="1" applyBorder="1" applyAlignment="1">
      <alignment horizontal="left" vertical="center" wrapText="1"/>
    </xf>
    <xf numFmtId="167" fontId="8" fillId="8" borderId="0" xfId="4" applyNumberFormat="1" applyFont="1" applyFill="1" applyBorder="1" applyAlignment="1">
      <alignment horizontal="left" vertical="center"/>
    </xf>
    <xf numFmtId="167" fontId="18" fillId="0" borderId="0" xfId="4" applyNumberFormat="1" applyFont="1" applyFill="1" applyBorder="1" applyAlignment="1">
      <alignment horizontal="left" vertical="center" wrapText="1" indent="2"/>
    </xf>
    <xf numFmtId="167" fontId="8" fillId="0" borderId="0" xfId="4" applyNumberFormat="1" applyFont="1" applyFill="1" applyBorder="1" applyAlignment="1">
      <alignment horizontal="left" vertical="center" wrapText="1" indent="2"/>
    </xf>
    <xf numFmtId="167" fontId="18" fillId="0" borderId="0" xfId="4" applyNumberFormat="1" applyFont="1" applyFill="1" applyBorder="1" applyAlignment="1">
      <alignment vertical="center" wrapText="1"/>
    </xf>
    <xf numFmtId="167" fontId="15" fillId="0" borderId="0" xfId="4" applyNumberFormat="1" applyFont="1" applyFill="1" applyBorder="1" applyAlignment="1">
      <alignment vertical="center"/>
    </xf>
    <xf numFmtId="168" fontId="14" fillId="8" borderId="0" xfId="4" applyNumberFormat="1" applyFont="1" applyFill="1" applyBorder="1" applyAlignment="1">
      <alignment horizontal="center" vertical="center"/>
    </xf>
    <xf numFmtId="168" fontId="13" fillId="8" borderId="0" xfId="4" applyNumberFormat="1" applyFont="1" applyFill="1" applyBorder="1" applyAlignment="1">
      <alignment horizontal="center" vertical="center"/>
    </xf>
    <xf numFmtId="168" fontId="13" fillId="0" borderId="0" xfId="4" applyNumberFormat="1" applyFont="1" applyFill="1" applyBorder="1" applyAlignment="1">
      <alignment horizontal="center" vertical="center"/>
    </xf>
    <xf numFmtId="168" fontId="14" fillId="0" borderId="0" xfId="4" applyNumberFormat="1" applyFont="1" applyFill="1" applyBorder="1" applyAlignment="1">
      <alignment horizontal="center" vertical="center"/>
    </xf>
    <xf numFmtId="168" fontId="13" fillId="0" borderId="0" xfId="4" applyNumberFormat="1" applyFont="1" applyFill="1" applyBorder="1"/>
    <xf numFmtId="170" fontId="13" fillId="0" borderId="0" xfId="0" applyNumberFormat="1" applyFont="1"/>
    <xf numFmtId="0" fontId="15" fillId="9" borderId="0" xfId="0" applyFont="1" applyFill="1" applyAlignment="1">
      <alignment horizontal="left"/>
    </xf>
    <xf numFmtId="171" fontId="18" fillId="4" borderId="4" xfId="4" applyNumberFormat="1" applyFont="1" applyFill="1" applyBorder="1" applyAlignment="1">
      <alignment horizontal="left" vertical="center" indent="3"/>
    </xf>
    <xf numFmtId="171" fontId="18" fillId="4" borderId="5" xfId="4" applyNumberFormat="1" applyFont="1" applyFill="1" applyBorder="1" applyAlignment="1">
      <alignment horizontal="left" vertical="center" indent="3"/>
    </xf>
    <xf numFmtId="0" fontId="8" fillId="6" borderId="0" xfId="0" applyFont="1" applyFill="1" applyAlignment="1">
      <alignment horizontal="left" indent="1"/>
    </xf>
    <xf numFmtId="172" fontId="18" fillId="0" borderId="5" xfId="4" applyNumberFormat="1" applyFont="1" applyFill="1" applyBorder="1" applyAlignment="1">
      <alignment vertical="center"/>
    </xf>
    <xf numFmtId="3" fontId="19" fillId="9" borderId="0" xfId="4" applyNumberFormat="1" applyFont="1" applyFill="1" applyBorder="1" applyAlignment="1">
      <alignment horizontal="right" vertical="center"/>
    </xf>
    <xf numFmtId="172" fontId="18" fillId="4" borderId="4" xfId="4" applyNumberFormat="1" applyFont="1" applyFill="1" applyBorder="1" applyAlignment="1">
      <alignment vertical="center"/>
    </xf>
    <xf numFmtId="172" fontId="18" fillId="4" borderId="5" xfId="4" applyNumberFormat="1" applyFont="1" applyFill="1" applyBorder="1" applyAlignment="1">
      <alignment vertical="center"/>
    </xf>
    <xf numFmtId="171" fontId="18" fillId="6" borderId="0" xfId="4" applyNumberFormat="1" applyFont="1" applyFill="1" applyBorder="1" applyAlignment="1">
      <alignment horizontal="left" vertical="center" indent="1"/>
    </xf>
    <xf numFmtId="171" fontId="18" fillId="4" borderId="7" xfId="4" applyNumberFormat="1" applyFont="1" applyFill="1" applyBorder="1" applyAlignment="1">
      <alignment horizontal="left" vertical="center" indent="3"/>
    </xf>
    <xf numFmtId="172" fontId="18" fillId="6" borderId="0" xfId="4" applyNumberFormat="1" applyFont="1" applyFill="1" applyBorder="1" applyAlignment="1">
      <alignment vertical="center"/>
    </xf>
    <xf numFmtId="3" fontId="18" fillId="6" borderId="0" xfId="4" applyNumberFormat="1" applyFont="1" applyFill="1" applyBorder="1" applyAlignment="1">
      <alignment horizontal="right" vertical="center"/>
    </xf>
    <xf numFmtId="0" fontId="17" fillId="0" borderId="10" xfId="0" applyFont="1" applyBorder="1" applyAlignment="1">
      <alignment horizontal="left" vertical="center" indent="3"/>
    </xf>
    <xf numFmtId="0" fontId="17" fillId="0" borderId="6" xfId="0" applyFont="1" applyBorder="1" applyAlignment="1">
      <alignment horizontal="left" vertical="center" indent="3"/>
    </xf>
    <xf numFmtId="0" fontId="8" fillId="0" borderId="9" xfId="0" applyFont="1" applyBorder="1" applyAlignment="1">
      <alignment horizontal="left" vertical="center"/>
    </xf>
    <xf numFmtId="0" fontId="8" fillId="10" borderId="9" xfId="0" applyFont="1" applyFill="1" applyBorder="1" applyAlignment="1">
      <alignment horizontal="left" vertical="center"/>
    </xf>
    <xf numFmtId="174" fontId="31" fillId="6" borderId="9" xfId="4" applyNumberFormat="1" applyFont="1" applyFill="1" applyBorder="1" applyAlignment="1">
      <alignment horizontal="right" vertical="center"/>
    </xf>
    <xf numFmtId="171" fontId="33" fillId="0" borderId="10" xfId="4" applyNumberFormat="1" applyFont="1" applyFill="1" applyBorder="1" applyAlignment="1">
      <alignment horizontal="right" vertical="center"/>
    </xf>
    <xf numFmtId="171" fontId="33" fillId="0" borderId="6" xfId="4" applyNumberFormat="1" applyFont="1" applyFill="1" applyBorder="1" applyAlignment="1">
      <alignment horizontal="right" vertical="center"/>
    </xf>
    <xf numFmtId="167" fontId="31" fillId="6" borderId="9" xfId="4" applyNumberFormat="1" applyFont="1" applyFill="1" applyBorder="1" applyAlignment="1">
      <alignment horizontal="right" vertical="center"/>
    </xf>
    <xf numFmtId="173" fontId="33" fillId="0" borderId="10" xfId="3" applyNumberFormat="1" applyFont="1" applyFill="1" applyBorder="1" applyAlignment="1">
      <alignment horizontal="right" vertical="center"/>
    </xf>
    <xf numFmtId="173" fontId="33" fillId="0" borderId="6" xfId="3" applyNumberFormat="1" applyFont="1" applyFill="1" applyBorder="1" applyAlignment="1">
      <alignment horizontal="right" vertical="center"/>
    </xf>
    <xf numFmtId="174" fontId="31" fillId="10" borderId="9" xfId="4" applyNumberFormat="1" applyFont="1" applyFill="1" applyBorder="1" applyAlignment="1">
      <alignment horizontal="right" vertical="center"/>
    </xf>
    <xf numFmtId="173" fontId="31" fillId="10" borderId="9" xfId="3" applyNumberFormat="1" applyFont="1" applyFill="1" applyBorder="1" applyAlignment="1">
      <alignment horizontal="right" vertical="center"/>
    </xf>
    <xf numFmtId="168" fontId="31" fillId="0" borderId="9" xfId="4" applyNumberFormat="1" applyFont="1" applyFill="1" applyBorder="1" applyAlignment="1">
      <alignment horizontal="right" vertical="center"/>
    </xf>
    <xf numFmtId="168" fontId="31" fillId="0" borderId="0" xfId="4" applyNumberFormat="1" applyFont="1" applyFill="1" applyBorder="1" applyAlignment="1">
      <alignment horizontal="right" vertical="center"/>
    </xf>
    <xf numFmtId="168" fontId="31" fillId="0" borderId="8" xfId="4" applyNumberFormat="1" applyFont="1" applyFill="1" applyBorder="1" applyAlignment="1">
      <alignment horizontal="right" vertical="center"/>
    </xf>
    <xf numFmtId="0" fontId="13" fillId="3" borderId="3" xfId="0" applyFont="1" applyFill="1" applyBorder="1"/>
    <xf numFmtId="164" fontId="13" fillId="3" borderId="3" xfId="1" applyNumberFormat="1" applyFont="1" applyFill="1" applyBorder="1"/>
    <xf numFmtId="0" fontId="5" fillId="0" borderId="0" xfId="0" applyFont="1"/>
    <xf numFmtId="0" fontId="18" fillId="0" borderId="8" xfId="0" applyFont="1" applyBorder="1" applyAlignment="1">
      <alignment horizontal="left" vertical="center" indent="2"/>
    </xf>
    <xf numFmtId="168" fontId="31" fillId="10" borderId="9" xfId="4" applyNumberFormat="1" applyFont="1" applyFill="1" applyBorder="1" applyAlignment="1">
      <alignment horizontal="right" vertical="center"/>
    </xf>
    <xf numFmtId="0" fontId="8" fillId="4" borderId="9" xfId="0" applyFont="1" applyFill="1" applyBorder="1" applyAlignment="1">
      <alignment horizontal="left" vertical="center"/>
    </xf>
    <xf numFmtId="174" fontId="31" fillId="4" borderId="9" xfId="4" applyNumberFormat="1" applyFont="1" applyFill="1" applyBorder="1" applyAlignment="1">
      <alignment horizontal="right" vertical="center"/>
    </xf>
    <xf numFmtId="0" fontId="13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174" fontId="31" fillId="0" borderId="9" xfId="4" applyNumberFormat="1" applyFont="1" applyFill="1" applyBorder="1" applyAlignment="1">
      <alignment horizontal="right" vertical="center"/>
    </xf>
    <xf numFmtId="0" fontId="18" fillId="0" borderId="9" xfId="0" applyFont="1" applyBorder="1" applyAlignment="1">
      <alignment horizontal="left" vertical="center"/>
    </xf>
    <xf numFmtId="173" fontId="31" fillId="0" borderId="9" xfId="3" applyNumberFormat="1" applyFont="1" applyFill="1" applyBorder="1" applyAlignment="1">
      <alignment horizontal="right" vertical="center"/>
    </xf>
    <xf numFmtId="0" fontId="32" fillId="0" borderId="9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10" borderId="0" xfId="0" applyFont="1" applyFill="1" applyAlignment="1">
      <alignment horizontal="left" vertical="center"/>
    </xf>
    <xf numFmtId="168" fontId="31" fillId="10" borderId="0" xfId="4" applyNumberFormat="1" applyFont="1" applyFill="1" applyBorder="1" applyAlignment="1">
      <alignment horizontal="right" vertical="center"/>
    </xf>
    <xf numFmtId="0" fontId="8" fillId="10" borderId="10" xfId="0" applyFont="1" applyFill="1" applyBorder="1" applyAlignment="1">
      <alignment horizontal="left" vertical="center"/>
    </xf>
    <xf numFmtId="168" fontId="31" fillId="10" borderId="11" xfId="4" applyNumberFormat="1" applyFont="1" applyFill="1" applyBorder="1" applyAlignment="1">
      <alignment horizontal="right" vertical="center"/>
    </xf>
    <xf numFmtId="168" fontId="31" fillId="10" borderId="10" xfId="4" applyNumberFormat="1" applyFont="1" applyFill="1" applyBorder="1" applyAlignment="1">
      <alignment horizontal="right" vertical="center"/>
    </xf>
    <xf numFmtId="168" fontId="34" fillId="0" borderId="9" xfId="4" applyNumberFormat="1" applyFont="1" applyFill="1" applyBorder="1" applyAlignment="1">
      <alignment horizontal="right" vertical="center"/>
    </xf>
    <xf numFmtId="168" fontId="14" fillId="8" borderId="0" xfId="4" applyNumberFormat="1" applyFont="1" applyFill="1" applyBorder="1" applyAlignment="1">
      <alignment horizontal="right" vertical="center"/>
    </xf>
    <xf numFmtId="168" fontId="13" fillId="8" borderId="0" xfId="4" applyNumberFormat="1" applyFont="1" applyFill="1" applyBorder="1" applyAlignment="1">
      <alignment horizontal="right" vertical="center"/>
    </xf>
    <xf numFmtId="168" fontId="13" fillId="0" borderId="0" xfId="4" applyNumberFormat="1" applyFont="1" applyFill="1" applyBorder="1" applyAlignment="1">
      <alignment horizontal="right" vertical="center"/>
    </xf>
    <xf numFmtId="168" fontId="14" fillId="0" borderId="0" xfId="4" applyNumberFormat="1" applyFont="1" applyFill="1" applyBorder="1" applyAlignment="1">
      <alignment horizontal="right" vertical="center"/>
    </xf>
    <xf numFmtId="172" fontId="31" fillId="4" borderId="9" xfId="4" applyNumberFormat="1" applyFont="1" applyFill="1" applyBorder="1" applyAlignment="1">
      <alignment horizontal="right" vertical="center"/>
    </xf>
    <xf numFmtId="164" fontId="2" fillId="7" borderId="0" xfId="1" applyNumberFormat="1" applyFont="1" applyFill="1" applyBorder="1"/>
    <xf numFmtId="0" fontId="34" fillId="0" borderId="0" xfId="0" applyFont="1" applyAlignment="1">
      <alignment vertical="center"/>
    </xf>
    <xf numFmtId="164" fontId="36" fillId="7" borderId="0" xfId="1" applyNumberFormat="1" applyFont="1" applyFill="1"/>
    <xf numFmtId="169" fontId="35" fillId="0" borderId="0" xfId="0" applyNumberFormat="1" applyFont="1"/>
    <xf numFmtId="169" fontId="30" fillId="8" borderId="0" xfId="0" applyNumberFormat="1" applyFont="1" applyFill="1" applyAlignment="1">
      <alignment horizontal="center" vertical="center"/>
    </xf>
    <xf numFmtId="168" fontId="18" fillId="0" borderId="0" xfId="1" applyNumberFormat="1" applyFont="1" applyFill="1" applyBorder="1" applyAlignment="1">
      <alignment horizontal="center" vertical="center"/>
    </xf>
    <xf numFmtId="168" fontId="18" fillId="5" borderId="0" xfId="1" applyNumberFormat="1" applyFont="1" applyFill="1" applyBorder="1" applyAlignment="1">
      <alignment horizontal="center" vertical="center"/>
    </xf>
    <xf numFmtId="168" fontId="19" fillId="6" borderId="0" xfId="1" applyNumberFormat="1" applyFont="1" applyFill="1" applyBorder="1" applyAlignment="1">
      <alignment horizontal="center" vertical="center"/>
    </xf>
    <xf numFmtId="164" fontId="8" fillId="0" borderId="0" xfId="4" applyNumberFormat="1" applyFont="1" applyFill="1" applyBorder="1" applyAlignment="1">
      <alignment vertical="center"/>
    </xf>
    <xf numFmtId="168" fontId="18" fillId="5" borderId="0" xfId="1" applyNumberFormat="1" applyFont="1" applyFill="1" applyBorder="1" applyAlignment="1">
      <alignment horizontal="right" vertical="center"/>
    </xf>
    <xf numFmtId="167" fontId="15" fillId="6" borderId="0" xfId="1" applyNumberFormat="1" applyFont="1" applyFill="1" applyBorder="1" applyAlignment="1">
      <alignment horizontal="left" vertical="center"/>
    </xf>
    <xf numFmtId="167" fontId="8" fillId="0" borderId="0" xfId="1" applyNumberFormat="1" applyFont="1" applyFill="1" applyBorder="1" applyAlignment="1">
      <alignment horizontal="left" vertical="center"/>
    </xf>
    <xf numFmtId="167" fontId="17" fillId="5" borderId="0" xfId="1" applyNumberFormat="1" applyFont="1" applyFill="1" applyBorder="1" applyAlignment="1">
      <alignment horizontal="left" vertical="center" indent="1"/>
    </xf>
    <xf numFmtId="171" fontId="31" fillId="0" borderId="0" xfId="4" applyNumberFormat="1" applyFont="1" applyFill="1" applyBorder="1" applyAlignment="1">
      <alignment horizontal="right" vertical="center"/>
    </xf>
    <xf numFmtId="168" fontId="15" fillId="8" borderId="0" xfId="0" applyNumberFormat="1" applyFont="1" applyFill="1" applyAlignment="1">
      <alignment vertical="center" wrapText="1"/>
    </xf>
    <xf numFmtId="175" fontId="15" fillId="8" borderId="0" xfId="0" applyNumberFormat="1" applyFont="1" applyFill="1" applyAlignment="1">
      <alignment vertical="center" wrapText="1"/>
    </xf>
    <xf numFmtId="166" fontId="15" fillId="8" borderId="0" xfId="0" applyNumberFormat="1" applyFont="1" applyFill="1" applyAlignment="1">
      <alignment vertical="center" wrapText="1"/>
    </xf>
    <xf numFmtId="167" fontId="15" fillId="4" borderId="0" xfId="1" applyNumberFormat="1" applyFont="1" applyFill="1" applyBorder="1" applyAlignment="1">
      <alignment horizontal="left" vertical="center"/>
    </xf>
    <xf numFmtId="168" fontId="15" fillId="4" borderId="0" xfId="1" applyNumberFormat="1" applyFont="1" applyFill="1" applyBorder="1" applyAlignment="1">
      <alignment horizontal="center" vertical="center"/>
    </xf>
    <xf numFmtId="168" fontId="15" fillId="6" borderId="0" xfId="1" applyNumberFormat="1" applyFont="1" applyFill="1" applyBorder="1" applyAlignment="1">
      <alignment horizontal="left" vertical="center"/>
    </xf>
    <xf numFmtId="171" fontId="31" fillId="4" borderId="0" xfId="4" applyNumberFormat="1" applyFont="1" applyFill="1" applyBorder="1" applyAlignment="1">
      <alignment horizontal="right" vertical="center"/>
    </xf>
    <xf numFmtId="176" fontId="8" fillId="10" borderId="9" xfId="0" applyNumberFormat="1" applyFont="1" applyFill="1" applyBorder="1" applyAlignment="1">
      <alignment horizontal="right" vertical="center"/>
    </xf>
    <xf numFmtId="169" fontId="14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167" fontId="8" fillId="0" borderId="0" xfId="1" applyNumberFormat="1" applyFont="1" applyFill="1" applyBorder="1" applyAlignment="1">
      <alignment horizontal="left" vertical="center" wrapText="1" indent="1"/>
    </xf>
    <xf numFmtId="167" fontId="8" fillId="0" borderId="1" xfId="1" applyNumberFormat="1" applyFont="1" applyFill="1" applyBorder="1" applyAlignment="1">
      <alignment horizontal="left" vertical="center" indent="1"/>
    </xf>
    <xf numFmtId="167" fontId="8" fillId="5" borderId="0" xfId="1" applyNumberFormat="1" applyFont="1" applyFill="1" applyBorder="1" applyAlignment="1">
      <alignment horizontal="left" vertical="center" wrapText="1" indent="2"/>
    </xf>
    <xf numFmtId="167" fontId="38" fillId="5" borderId="0" xfId="1" applyNumberFormat="1" applyFont="1" applyFill="1" applyBorder="1" applyAlignment="1">
      <alignment horizontal="left" vertical="center" wrapText="1"/>
    </xf>
    <xf numFmtId="168" fontId="15" fillId="5" borderId="0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 indent="1"/>
    </xf>
    <xf numFmtId="166" fontId="8" fillId="0" borderId="0" xfId="4" applyNumberFormat="1" applyFont="1" applyFill="1" applyBorder="1" applyAlignment="1">
      <alignment horizontal="left" vertical="center" indent="1"/>
    </xf>
    <xf numFmtId="166" fontId="26" fillId="0" borderId="0" xfId="4" applyNumberFormat="1" applyFont="1" applyFill="1" applyBorder="1" applyAlignment="1">
      <alignment horizontal="left" vertical="center" indent="1"/>
    </xf>
    <xf numFmtId="166" fontId="26" fillId="0" borderId="0" xfId="4" applyNumberFormat="1" applyFont="1" applyFill="1" applyBorder="1" applyAlignment="1">
      <alignment horizontal="left" vertical="center" wrapText="1" indent="1"/>
    </xf>
    <xf numFmtId="9" fontId="8" fillId="10" borderId="10" xfId="3" applyFont="1" applyFill="1" applyBorder="1" applyAlignment="1">
      <alignment horizontal="left" vertical="center"/>
    </xf>
    <xf numFmtId="167" fontId="18" fillId="11" borderId="0" xfId="4" applyNumberFormat="1" applyFont="1" applyFill="1" applyBorder="1" applyAlignment="1">
      <alignment horizontal="left" vertical="center" wrapText="1" indent="2"/>
    </xf>
    <xf numFmtId="168" fontId="13" fillId="11" borderId="0" xfId="4" applyNumberFormat="1" applyFont="1" applyFill="1" applyBorder="1" applyAlignment="1">
      <alignment horizontal="center" vertical="center"/>
    </xf>
    <xf numFmtId="168" fontId="13" fillId="11" borderId="0" xfId="4" applyNumberFormat="1" applyFont="1" applyFill="1" applyBorder="1" applyAlignment="1">
      <alignment horizontal="right" vertical="center"/>
    </xf>
    <xf numFmtId="175" fontId="13" fillId="0" borderId="0" xfId="0" applyNumberFormat="1" applyFont="1" applyAlignment="1">
      <alignment vertical="center"/>
    </xf>
    <xf numFmtId="168" fontId="13" fillId="0" borderId="0" xfId="0" applyNumberFormat="1" applyFont="1" applyAlignment="1">
      <alignment vertical="center"/>
    </xf>
    <xf numFmtId="167" fontId="19" fillId="0" borderId="0" xfId="4" applyNumberFormat="1" applyFont="1" applyFill="1" applyBorder="1" applyAlignment="1">
      <alignment horizontal="left" vertical="center" wrapText="1" indent="2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167" fontId="5" fillId="0" borderId="0" xfId="1" applyNumberFormat="1" applyFont="1" applyFill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7">
    <cellStyle name="Normal" xfId="0" builtinId="0"/>
    <cellStyle name="Porcentagem" xfId="3" builtinId="5"/>
    <cellStyle name="Row Name - IBM Cognos" xfId="5" xr:uid="{B16F9E20-2647-43E3-B8F4-A5455515DAD4}"/>
    <cellStyle name="Separador de milhares 14" xfId="2" xr:uid="{00000000-0005-0000-0000-000002000000}"/>
    <cellStyle name="Vírgula" xfId="1" builtinId="3"/>
    <cellStyle name="Vírgula 2" xfId="4" xr:uid="{00000000-0005-0000-0000-000004000000}"/>
    <cellStyle name="Vírgula 2 2" xfId="6" xr:uid="{F500AB3B-CB2F-4FFE-83B6-EB309CA156FC}"/>
  </cellStyles>
  <dxfs count="0"/>
  <tableStyles count="0" defaultTableStyle="TableStyleMedium2" defaultPivotStyle="PivotStyleLight16"/>
  <colors>
    <mruColors>
      <color rgb="FF00298D"/>
      <color rgb="FF92D050"/>
      <color rgb="FFF2F2F2"/>
      <color rgb="FFE7E6E6"/>
      <color rgb="FF298CED"/>
      <color rgb="FF68ADF2"/>
      <color rgb="FFF2BF00"/>
      <color rgb="FF49CDA4"/>
      <color rgb="FFD926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R_BS!A1"/><Relationship Id="rId13" Type="http://schemas.openxmlformats.org/officeDocument/2006/relationships/hyperlink" Target="#Corp_Stores!A1"/><Relationship Id="rId3" Type="http://schemas.openxmlformats.org/officeDocument/2006/relationships/hyperlink" Target="#Corp_Indicators!A1"/><Relationship Id="rId7" Type="http://schemas.openxmlformats.org/officeDocument/2006/relationships/hyperlink" Target="#BR_BS!A1"/><Relationship Id="rId12" Type="http://schemas.openxmlformats.org/officeDocument/2006/relationships/hyperlink" Target="#Corp_CFS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Corp_BS!A1"/><Relationship Id="rId11" Type="http://schemas.openxmlformats.org/officeDocument/2006/relationships/hyperlink" Target="#AR_IS!A1"/><Relationship Id="rId5" Type="http://schemas.openxmlformats.org/officeDocument/2006/relationships/hyperlink" Target="#AR_Indicadores!A1"/><Relationship Id="rId10" Type="http://schemas.openxmlformats.org/officeDocument/2006/relationships/hyperlink" Target="#BR_IS!A1"/><Relationship Id="rId4" Type="http://schemas.openxmlformats.org/officeDocument/2006/relationships/hyperlink" Target="#BR_Indicators!A1"/><Relationship Id="rId9" Type="http://schemas.openxmlformats.org/officeDocument/2006/relationships/hyperlink" Target="#Corp_SI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AR_APseg!A1"/><Relationship Id="rId13" Type="http://schemas.openxmlformats.org/officeDocument/2006/relationships/hyperlink" Target="#Corp_Lojas!A1"/><Relationship Id="rId3" Type="http://schemas.openxmlformats.org/officeDocument/2006/relationships/hyperlink" Target="#Corp_Indicadores!A1"/><Relationship Id="rId7" Type="http://schemas.openxmlformats.org/officeDocument/2006/relationships/hyperlink" Target="#BR_APseg!A1"/><Relationship Id="rId12" Type="http://schemas.openxmlformats.org/officeDocument/2006/relationships/hyperlink" Target="#Corp_DFC!A1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hyperlink" Target="#Corp_BP!A1"/><Relationship Id="rId11" Type="http://schemas.openxmlformats.org/officeDocument/2006/relationships/hyperlink" Target="#AR_DRE!A1"/><Relationship Id="rId5" Type="http://schemas.openxmlformats.org/officeDocument/2006/relationships/hyperlink" Target="#AR_Indicadores!A1"/><Relationship Id="rId10" Type="http://schemas.openxmlformats.org/officeDocument/2006/relationships/hyperlink" Target="#BR_DRE!A1"/><Relationship Id="rId4" Type="http://schemas.openxmlformats.org/officeDocument/2006/relationships/hyperlink" Target="#BR_Indicadores!A1"/><Relationship Id="rId9" Type="http://schemas.openxmlformats.org/officeDocument/2006/relationships/hyperlink" Target="#Corp_DR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Menu!A1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20638</xdr:rowOff>
    </xdr:from>
    <xdr:to>
      <xdr:col>11</xdr:col>
      <xdr:colOff>12700</xdr:colOff>
      <xdr:row>10</xdr:row>
      <xdr:rowOff>105538</xdr:rowOff>
    </xdr:to>
    <xdr:sp macro="" textlink="">
      <xdr:nvSpPr>
        <xdr:cNvPr id="24" name="Retângulo Arredondado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8100" y="1887538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10</xdr:row>
      <xdr:rowOff>149226</xdr:rowOff>
    </xdr:from>
    <xdr:to>
      <xdr:col>11</xdr:col>
      <xdr:colOff>12700</xdr:colOff>
      <xdr:row>13</xdr:row>
      <xdr:rowOff>24576</xdr:rowOff>
    </xdr:to>
    <xdr:sp macro="" textlink="">
      <xdr:nvSpPr>
        <xdr:cNvPr id="25" name="Retângulo Arredondado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8100" y="2435226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13</xdr:row>
      <xdr:rowOff>68264</xdr:rowOff>
    </xdr:from>
    <xdr:to>
      <xdr:col>11</xdr:col>
      <xdr:colOff>12700</xdr:colOff>
      <xdr:row>15</xdr:row>
      <xdr:rowOff>153164</xdr:rowOff>
    </xdr:to>
    <xdr:sp macro="" textlink="">
      <xdr:nvSpPr>
        <xdr:cNvPr id="26" name="Retângulo Arredondad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38100" y="2982914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5</xdr:row>
      <xdr:rowOff>158750</xdr:rowOff>
    </xdr:from>
    <xdr:to>
      <xdr:col>11</xdr:col>
      <xdr:colOff>12700</xdr:colOff>
      <xdr:row>7</xdr:row>
      <xdr:rowOff>243650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100" y="133985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 b="1">
            <a:solidFill>
              <a:srgbClr val="0070C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</xdr:colOff>
      <xdr:row>15</xdr:row>
      <xdr:rowOff>196850</xdr:rowOff>
    </xdr:from>
    <xdr:to>
      <xdr:col>11</xdr:col>
      <xdr:colOff>12700</xdr:colOff>
      <xdr:row>18</xdr:row>
      <xdr:rowOff>72200</xdr:rowOff>
    </xdr:to>
    <xdr:sp macro="" textlink="">
      <xdr:nvSpPr>
        <xdr:cNvPr id="27" name="Retângulo Arredondad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00" y="353060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203200</xdr:colOff>
      <xdr:row>0</xdr:row>
      <xdr:rowOff>146050</xdr:rowOff>
    </xdr:from>
    <xdr:to>
      <xdr:col>2</xdr:col>
      <xdr:colOff>387350</xdr:colOff>
      <xdr:row>3</xdr:row>
      <xdr:rowOff>35640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47" b="32620"/>
        <a:stretch/>
      </xdr:blipFill>
      <xdr:spPr>
        <a:xfrm>
          <a:off x="203200" y="146050"/>
          <a:ext cx="1441450" cy="651590"/>
        </a:xfrm>
        <a:prstGeom prst="rect">
          <a:avLst/>
        </a:prstGeom>
      </xdr:spPr>
    </xdr:pic>
    <xdr:clientData/>
  </xdr:twoCellAnchor>
  <xdr:twoCellAnchor editAs="oneCell">
    <xdr:from>
      <xdr:col>9</xdr:col>
      <xdr:colOff>368300</xdr:colOff>
      <xdr:row>0</xdr:row>
      <xdr:rowOff>152400</xdr:rowOff>
    </xdr:from>
    <xdr:to>
      <xdr:col>10</xdr:col>
      <xdr:colOff>296733</xdr:colOff>
      <xdr:row>2</xdr:row>
      <xdr:rowOff>215900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150" y="152400"/>
          <a:ext cx="557083" cy="603250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4</xdr:row>
      <xdr:rowOff>44450</xdr:rowOff>
    </xdr:from>
    <xdr:to>
      <xdr:col>5</xdr:col>
      <xdr:colOff>301300</xdr:colOff>
      <xdr:row>5</xdr:row>
      <xdr:rowOff>122900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60550" y="1016000"/>
          <a:ext cx="1584000" cy="28800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Consolidado</a:t>
          </a:r>
        </a:p>
      </xdr:txBody>
    </xdr:sp>
    <xdr:clientData/>
  </xdr:twoCellAnchor>
  <xdr:twoCellAnchor>
    <xdr:from>
      <xdr:col>5</xdr:col>
      <xdr:colOff>450850</xdr:colOff>
      <xdr:row>4</xdr:row>
      <xdr:rowOff>44450</xdr:rowOff>
    </xdr:from>
    <xdr:to>
      <xdr:col>8</xdr:col>
      <xdr:colOff>148900</xdr:colOff>
      <xdr:row>5</xdr:row>
      <xdr:rowOff>122900</xdr:rowOff>
    </xdr:to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94100" y="1016000"/>
          <a:ext cx="1584000" cy="288000"/>
        </a:xfrm>
        <a:prstGeom prst="rect">
          <a:avLst/>
        </a:prstGeom>
        <a:solidFill>
          <a:srgbClr val="298CE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40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Brasil</a:t>
          </a:r>
        </a:p>
      </xdr:txBody>
    </xdr:sp>
    <xdr:clientData/>
  </xdr:twoCellAnchor>
  <xdr:twoCellAnchor>
    <xdr:from>
      <xdr:col>8</xdr:col>
      <xdr:colOff>298450</xdr:colOff>
      <xdr:row>4</xdr:row>
      <xdr:rowOff>44450</xdr:rowOff>
    </xdr:from>
    <xdr:to>
      <xdr:col>10</xdr:col>
      <xdr:colOff>625150</xdr:colOff>
      <xdr:row>5</xdr:row>
      <xdr:rowOff>122900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327650" y="1016000"/>
          <a:ext cx="1584000" cy="2880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Argentina</a:t>
          </a:r>
        </a:p>
      </xdr:txBody>
    </xdr:sp>
    <xdr:clientData/>
  </xdr:twoCellAnchor>
  <xdr:oneCellAnchor>
    <xdr:from>
      <xdr:col>0</xdr:col>
      <xdr:colOff>101600</xdr:colOff>
      <xdr:row>6</xdr:row>
      <xdr:rowOff>71453</xdr:rowOff>
    </xdr:from>
    <xdr:ext cx="1220270" cy="279948"/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1600" y="1462103"/>
          <a:ext cx="1220270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Main Indicators</a:t>
          </a:r>
        </a:p>
      </xdr:txBody>
    </xdr:sp>
    <xdr:clientData/>
  </xdr:oneCellAnchor>
  <xdr:oneCellAnchor>
    <xdr:from>
      <xdr:col>0</xdr:col>
      <xdr:colOff>101601</xdr:colOff>
      <xdr:row>8</xdr:row>
      <xdr:rowOff>35279</xdr:rowOff>
    </xdr:from>
    <xdr:ext cx="2142066" cy="486833"/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1601" y="1919112"/>
          <a:ext cx="2142066" cy="48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Balance Sheet / </a:t>
          </a:r>
        </a:p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Assets &amp; Lieabilities per segment</a:t>
          </a:r>
        </a:p>
      </xdr:txBody>
    </xdr:sp>
    <xdr:clientData/>
  </xdr:oneCellAnchor>
  <xdr:oneCellAnchor>
    <xdr:from>
      <xdr:col>0</xdr:col>
      <xdr:colOff>116416</xdr:colOff>
      <xdr:row>11</xdr:row>
      <xdr:rowOff>62670</xdr:rowOff>
    </xdr:from>
    <xdr:ext cx="1461939" cy="279948"/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6416" y="2548695"/>
          <a:ext cx="1461939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Income Statements</a:t>
          </a:r>
        </a:p>
      </xdr:txBody>
    </xdr:sp>
    <xdr:clientData/>
  </xdr:oneCellAnchor>
  <xdr:oneCellAnchor>
    <xdr:from>
      <xdr:col>0</xdr:col>
      <xdr:colOff>136878</xdr:colOff>
      <xdr:row>13</xdr:row>
      <xdr:rowOff>93537</xdr:rowOff>
    </xdr:from>
    <xdr:ext cx="933525" cy="467564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36878" y="2998662"/>
          <a:ext cx="933525" cy="467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Cash Flow</a:t>
          </a:r>
        </a:p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Statements</a:t>
          </a:r>
        </a:p>
      </xdr:txBody>
    </xdr:sp>
    <xdr:clientData/>
  </xdr:oneCellAnchor>
  <xdr:oneCellAnchor>
    <xdr:from>
      <xdr:col>0</xdr:col>
      <xdr:colOff>95250</xdr:colOff>
      <xdr:row>16</xdr:row>
      <xdr:rowOff>99326</xdr:rowOff>
    </xdr:from>
    <xdr:ext cx="1346331" cy="279948"/>
    <xdr:sp macro="" textlink="">
      <xdr:nvSpPr>
        <xdr:cNvPr id="31" name="CaixaDeText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5250" y="3633101"/>
          <a:ext cx="1346331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Number of stores</a:t>
          </a:r>
        </a:p>
      </xdr:txBody>
    </xdr:sp>
    <xdr:clientData/>
  </xdr:oneCellAnchor>
  <xdr:twoCellAnchor>
    <xdr:from>
      <xdr:col>4</xdr:col>
      <xdr:colOff>12700</xdr:colOff>
      <xdr:row>6</xdr:row>
      <xdr:rowOff>76200</xdr:rowOff>
    </xdr:from>
    <xdr:to>
      <xdr:col>4</xdr:col>
      <xdr:colOff>228700</xdr:colOff>
      <xdr:row>7</xdr:row>
      <xdr:rowOff>118650</xdr:rowOff>
    </xdr:to>
    <xdr:sp macro="" textlink="">
      <xdr:nvSpPr>
        <xdr:cNvPr id="34" name="Fluxograma: Vários Documentos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527300" y="1466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6</xdr:row>
      <xdr:rowOff>76200</xdr:rowOff>
    </xdr:from>
    <xdr:to>
      <xdr:col>7</xdr:col>
      <xdr:colOff>108050</xdr:colOff>
      <xdr:row>7</xdr:row>
      <xdr:rowOff>118650</xdr:rowOff>
    </xdr:to>
    <xdr:sp macro="" textlink="">
      <xdr:nvSpPr>
        <xdr:cNvPr id="35" name="Fluxograma: Vários Documentos 3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292600" y="14668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6</xdr:row>
      <xdr:rowOff>76200</xdr:rowOff>
    </xdr:from>
    <xdr:to>
      <xdr:col>9</xdr:col>
      <xdr:colOff>577950</xdr:colOff>
      <xdr:row>7</xdr:row>
      <xdr:rowOff>118650</xdr:rowOff>
    </xdr:to>
    <xdr:sp macro="" textlink="">
      <xdr:nvSpPr>
        <xdr:cNvPr id="36" name="Fluxograma: Vários Documentos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6019800" y="14668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8</xdr:row>
      <xdr:rowOff>139700</xdr:rowOff>
    </xdr:from>
    <xdr:to>
      <xdr:col>4</xdr:col>
      <xdr:colOff>228700</xdr:colOff>
      <xdr:row>9</xdr:row>
      <xdr:rowOff>182150</xdr:rowOff>
    </xdr:to>
    <xdr:sp macro="" textlink="">
      <xdr:nvSpPr>
        <xdr:cNvPr id="37" name="Fluxograma: Vários Documentos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527300" y="20066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8</xdr:row>
      <xdr:rowOff>139700</xdr:rowOff>
    </xdr:from>
    <xdr:to>
      <xdr:col>7</xdr:col>
      <xdr:colOff>108050</xdr:colOff>
      <xdr:row>9</xdr:row>
      <xdr:rowOff>182150</xdr:rowOff>
    </xdr:to>
    <xdr:sp macro="" textlink="">
      <xdr:nvSpPr>
        <xdr:cNvPr id="38" name="Fluxograma: Vários Documentos 3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4292600" y="200660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8</xdr:row>
      <xdr:rowOff>139700</xdr:rowOff>
    </xdr:from>
    <xdr:to>
      <xdr:col>9</xdr:col>
      <xdr:colOff>577950</xdr:colOff>
      <xdr:row>9</xdr:row>
      <xdr:rowOff>182150</xdr:rowOff>
    </xdr:to>
    <xdr:sp macro="" textlink="">
      <xdr:nvSpPr>
        <xdr:cNvPr id="39" name="Fluxograma: Vários Documentos 3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019800" y="200660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11</xdr:row>
      <xdr:rowOff>76200</xdr:rowOff>
    </xdr:from>
    <xdr:to>
      <xdr:col>4</xdr:col>
      <xdr:colOff>228700</xdr:colOff>
      <xdr:row>12</xdr:row>
      <xdr:rowOff>118650</xdr:rowOff>
    </xdr:to>
    <xdr:sp macro="" textlink="">
      <xdr:nvSpPr>
        <xdr:cNvPr id="40" name="Fluxograma: Vários Documentos 3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527300" y="25717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11</xdr:row>
      <xdr:rowOff>76200</xdr:rowOff>
    </xdr:from>
    <xdr:to>
      <xdr:col>7</xdr:col>
      <xdr:colOff>108050</xdr:colOff>
      <xdr:row>12</xdr:row>
      <xdr:rowOff>118650</xdr:rowOff>
    </xdr:to>
    <xdr:sp macro="" textlink="">
      <xdr:nvSpPr>
        <xdr:cNvPr id="41" name="Fluxograma: Vários Documentos 4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292600" y="25717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11</xdr:row>
      <xdr:rowOff>76200</xdr:rowOff>
    </xdr:from>
    <xdr:to>
      <xdr:col>9</xdr:col>
      <xdr:colOff>577950</xdr:colOff>
      <xdr:row>12</xdr:row>
      <xdr:rowOff>118650</xdr:rowOff>
    </xdr:to>
    <xdr:sp macro="" textlink="">
      <xdr:nvSpPr>
        <xdr:cNvPr id="42" name="Fluxograma: Vários Documentos 4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6019800" y="25717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13</xdr:row>
      <xdr:rowOff>203200</xdr:rowOff>
    </xdr:from>
    <xdr:to>
      <xdr:col>4</xdr:col>
      <xdr:colOff>228700</xdr:colOff>
      <xdr:row>15</xdr:row>
      <xdr:rowOff>36100</xdr:rowOff>
    </xdr:to>
    <xdr:sp macro="" textlink="">
      <xdr:nvSpPr>
        <xdr:cNvPr id="43" name="Fluxograma: Vários Documentos 4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527300" y="3117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16</xdr:row>
      <xdr:rowOff>127000</xdr:rowOff>
    </xdr:from>
    <xdr:to>
      <xdr:col>4</xdr:col>
      <xdr:colOff>228700</xdr:colOff>
      <xdr:row>17</xdr:row>
      <xdr:rowOff>169450</xdr:rowOff>
    </xdr:to>
    <xdr:sp macro="" textlink="">
      <xdr:nvSpPr>
        <xdr:cNvPr id="46" name="Fluxograma: Vários Documentos 4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527300" y="36703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732700</xdr:colOff>
      <xdr:row>27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638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201707</xdr:colOff>
      <xdr:row>0</xdr:row>
      <xdr:rowOff>78441</xdr:rowOff>
    </xdr:from>
    <xdr:to>
      <xdr:col>0</xdr:col>
      <xdr:colOff>778926</xdr:colOff>
      <xdr:row>1</xdr:row>
      <xdr:rowOff>159273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DEF79B-4FEC-46B3-88E1-3C71155C9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1707" y="78441"/>
          <a:ext cx="577219" cy="3049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720000</xdr:colOff>
      <xdr:row>13</xdr:row>
      <xdr:rowOff>47814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41631"/>
          <a:ext cx="720000" cy="69850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47625</xdr:rowOff>
    </xdr:from>
    <xdr:to>
      <xdr:col>0</xdr:col>
      <xdr:colOff>710569</xdr:colOff>
      <xdr:row>1</xdr:row>
      <xdr:rowOff>133500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193E08-EC42-4872-8532-DACCBBE7E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3350" y="47625"/>
          <a:ext cx="577219" cy="3049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224117</xdr:colOff>
      <xdr:row>0</xdr:row>
      <xdr:rowOff>56030</xdr:rowOff>
    </xdr:from>
    <xdr:to>
      <xdr:col>0</xdr:col>
      <xdr:colOff>801336</xdr:colOff>
      <xdr:row>1</xdr:row>
      <xdr:rowOff>136862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ABA14C-15CA-480B-A2E5-3D237F69F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24117" y="56030"/>
          <a:ext cx="577219" cy="3049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732700</xdr:colOff>
      <xdr:row>27</xdr:row>
      <xdr:rowOff>116727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2605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137584</xdr:colOff>
      <xdr:row>0</xdr:row>
      <xdr:rowOff>42333</xdr:rowOff>
    </xdr:from>
    <xdr:to>
      <xdr:col>0</xdr:col>
      <xdr:colOff>714803</xdr:colOff>
      <xdr:row>1</xdr:row>
      <xdr:rowOff>125033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ED6FC5-9E52-4490-9F21-32C7B8149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37584" y="42333"/>
          <a:ext cx="577219" cy="3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20638</xdr:rowOff>
    </xdr:from>
    <xdr:to>
      <xdr:col>11</xdr:col>
      <xdr:colOff>12700</xdr:colOff>
      <xdr:row>10</xdr:row>
      <xdr:rowOff>105538</xdr:rowOff>
    </xdr:to>
    <xdr:sp macro="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8100" y="1887538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10</xdr:row>
      <xdr:rowOff>149226</xdr:rowOff>
    </xdr:from>
    <xdr:to>
      <xdr:col>11</xdr:col>
      <xdr:colOff>12700</xdr:colOff>
      <xdr:row>13</xdr:row>
      <xdr:rowOff>24576</xdr:rowOff>
    </xdr:to>
    <xdr:sp macro="" textlink="">
      <xdr:nvSpPr>
        <xdr:cNvPr id="3" name="Retângulo Arredondad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100" y="2435226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13</xdr:row>
      <xdr:rowOff>68264</xdr:rowOff>
    </xdr:from>
    <xdr:to>
      <xdr:col>11</xdr:col>
      <xdr:colOff>12700</xdr:colOff>
      <xdr:row>15</xdr:row>
      <xdr:rowOff>153164</xdr:rowOff>
    </xdr:to>
    <xdr:sp macro="" textlink="">
      <xdr:nvSpPr>
        <xdr:cNvPr id="4" name="Retângulo Arredondad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8100" y="2982914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38100</xdr:colOff>
      <xdr:row>5</xdr:row>
      <xdr:rowOff>158750</xdr:rowOff>
    </xdr:from>
    <xdr:to>
      <xdr:col>11</xdr:col>
      <xdr:colOff>12700</xdr:colOff>
      <xdr:row>7</xdr:row>
      <xdr:rowOff>243650</xdr:rowOff>
    </xdr:to>
    <xdr:sp macro="" textlink="">
      <xdr:nvSpPr>
        <xdr:cNvPr id="5" name="Retângulo Arredondad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8100" y="133985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 b="1">
            <a:solidFill>
              <a:srgbClr val="0070C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</xdr:colOff>
      <xdr:row>15</xdr:row>
      <xdr:rowOff>196850</xdr:rowOff>
    </xdr:from>
    <xdr:to>
      <xdr:col>11</xdr:col>
      <xdr:colOff>12700</xdr:colOff>
      <xdr:row>18</xdr:row>
      <xdr:rowOff>72200</xdr:rowOff>
    </xdr:to>
    <xdr:sp macro="" textlink="">
      <xdr:nvSpPr>
        <xdr:cNvPr id="6" name="Retângulo Arredondad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8100" y="3530600"/>
          <a:ext cx="6889750" cy="504000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203200</xdr:colOff>
      <xdr:row>0</xdr:row>
      <xdr:rowOff>146050</xdr:rowOff>
    </xdr:from>
    <xdr:to>
      <xdr:col>2</xdr:col>
      <xdr:colOff>387350</xdr:colOff>
      <xdr:row>3</xdr:row>
      <xdr:rowOff>35640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47" b="32620"/>
        <a:stretch/>
      </xdr:blipFill>
      <xdr:spPr>
        <a:xfrm>
          <a:off x="203200" y="146050"/>
          <a:ext cx="1441450" cy="651590"/>
        </a:xfrm>
        <a:prstGeom prst="rect">
          <a:avLst/>
        </a:prstGeom>
      </xdr:spPr>
    </xdr:pic>
    <xdr:clientData/>
  </xdr:twoCellAnchor>
  <xdr:twoCellAnchor editAs="oneCell">
    <xdr:from>
      <xdr:col>9</xdr:col>
      <xdr:colOff>368300</xdr:colOff>
      <xdr:row>0</xdr:row>
      <xdr:rowOff>152400</xdr:rowOff>
    </xdr:from>
    <xdr:to>
      <xdr:col>10</xdr:col>
      <xdr:colOff>296733</xdr:colOff>
      <xdr:row>2</xdr:row>
      <xdr:rowOff>215900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6150" y="152400"/>
          <a:ext cx="557083" cy="603250"/>
        </a:xfrm>
        <a:prstGeom prst="rect">
          <a:avLst/>
        </a:prstGeom>
      </xdr:spPr>
    </xdr:pic>
    <xdr:clientData/>
  </xdr:twoCellAnchor>
  <xdr:twoCellAnchor>
    <xdr:from>
      <xdr:col>2</xdr:col>
      <xdr:colOff>603250</xdr:colOff>
      <xdr:row>4</xdr:row>
      <xdr:rowOff>44450</xdr:rowOff>
    </xdr:from>
    <xdr:to>
      <xdr:col>5</xdr:col>
      <xdr:colOff>301300</xdr:colOff>
      <xdr:row>5</xdr:row>
      <xdr:rowOff>122900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860550" y="1016000"/>
          <a:ext cx="1584000" cy="288000"/>
        </a:xfrm>
        <a:prstGeom prst="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Consolidated</a:t>
          </a:r>
        </a:p>
      </xdr:txBody>
    </xdr:sp>
    <xdr:clientData/>
  </xdr:twoCellAnchor>
  <xdr:twoCellAnchor>
    <xdr:from>
      <xdr:col>5</xdr:col>
      <xdr:colOff>450850</xdr:colOff>
      <xdr:row>4</xdr:row>
      <xdr:rowOff>44450</xdr:rowOff>
    </xdr:from>
    <xdr:to>
      <xdr:col>8</xdr:col>
      <xdr:colOff>148900</xdr:colOff>
      <xdr:row>5</xdr:row>
      <xdr:rowOff>122900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594100" y="1016000"/>
          <a:ext cx="1584000" cy="288000"/>
        </a:xfrm>
        <a:prstGeom prst="rect">
          <a:avLst/>
        </a:prstGeom>
        <a:solidFill>
          <a:srgbClr val="298CE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40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Brazil</a:t>
          </a:r>
        </a:p>
      </xdr:txBody>
    </xdr:sp>
    <xdr:clientData/>
  </xdr:twoCellAnchor>
  <xdr:twoCellAnchor>
    <xdr:from>
      <xdr:col>8</xdr:col>
      <xdr:colOff>298450</xdr:colOff>
      <xdr:row>4</xdr:row>
      <xdr:rowOff>44450</xdr:rowOff>
    </xdr:from>
    <xdr:to>
      <xdr:col>10</xdr:col>
      <xdr:colOff>625150</xdr:colOff>
      <xdr:row>5</xdr:row>
      <xdr:rowOff>122900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327650" y="1016000"/>
          <a:ext cx="1584000" cy="2880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>
              <a:latin typeface="Segoe UI" panose="020B0502040204020203" pitchFamily="34" charset="0"/>
              <a:cs typeface="Segoe UI" panose="020B0502040204020203" pitchFamily="34" charset="0"/>
            </a:rPr>
            <a:t>Argentina</a:t>
          </a:r>
        </a:p>
      </xdr:txBody>
    </xdr:sp>
    <xdr:clientData/>
  </xdr:twoCellAnchor>
  <xdr:oneCellAnchor>
    <xdr:from>
      <xdr:col>0</xdr:col>
      <xdr:colOff>101600</xdr:colOff>
      <xdr:row>6</xdr:row>
      <xdr:rowOff>71453</xdr:rowOff>
    </xdr:from>
    <xdr:ext cx="1215654" cy="279948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01600" y="1475509"/>
          <a:ext cx="1215654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Main Indicators</a:t>
          </a:r>
        </a:p>
      </xdr:txBody>
    </xdr:sp>
    <xdr:clientData/>
  </xdr:oneCellAnchor>
  <xdr:oneCellAnchor>
    <xdr:from>
      <xdr:col>0</xdr:col>
      <xdr:colOff>101601</xdr:colOff>
      <xdr:row>8</xdr:row>
      <xdr:rowOff>35279</xdr:rowOff>
    </xdr:from>
    <xdr:ext cx="2142066" cy="486833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01601" y="1902179"/>
          <a:ext cx="2142066" cy="4868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Balance Sheet/ </a:t>
          </a:r>
        </a:p>
        <a:p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Assets and Liabilities by segment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95250</xdr:colOff>
      <xdr:row>11</xdr:row>
      <xdr:rowOff>40447</xdr:rowOff>
    </xdr:from>
    <xdr:ext cx="1494192" cy="279948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95250" y="2559280"/>
          <a:ext cx="1494192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Financial Statement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101600</xdr:colOff>
      <xdr:row>13</xdr:row>
      <xdr:rowOff>192316</xdr:rowOff>
    </xdr:from>
    <xdr:ext cx="846707" cy="279948"/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01600" y="3134483"/>
          <a:ext cx="846707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eaLnBrk="1" fontAlgn="auto" latinLnBrk="0" hangingPunct="1"/>
          <a:r>
            <a:rPr lang="pt-BR" sz="1100" b="1" i="0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Cash Flow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oneCellAnchor>
    <xdr:from>
      <xdr:col>0</xdr:col>
      <xdr:colOff>95250</xdr:colOff>
      <xdr:row>16</xdr:row>
      <xdr:rowOff>99326</xdr:rowOff>
    </xdr:from>
    <xdr:ext cx="1363322" cy="279948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95250" y="3676493"/>
          <a:ext cx="1363322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>
              <a:solidFill>
                <a:srgbClr val="002060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Number of Stores</a:t>
          </a:r>
          <a:endParaRPr lang="pt-BR">
            <a:solidFill>
              <a:srgbClr val="002060"/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  <xdr:twoCellAnchor>
    <xdr:from>
      <xdr:col>4</xdr:col>
      <xdr:colOff>12700</xdr:colOff>
      <xdr:row>6</xdr:row>
      <xdr:rowOff>76200</xdr:rowOff>
    </xdr:from>
    <xdr:to>
      <xdr:col>4</xdr:col>
      <xdr:colOff>228700</xdr:colOff>
      <xdr:row>7</xdr:row>
      <xdr:rowOff>118650</xdr:rowOff>
    </xdr:to>
    <xdr:sp macro="" textlink="">
      <xdr:nvSpPr>
        <xdr:cNvPr id="17" name="Fluxograma: Vários Documentos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527300" y="1466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6</xdr:row>
      <xdr:rowOff>76200</xdr:rowOff>
    </xdr:from>
    <xdr:to>
      <xdr:col>7</xdr:col>
      <xdr:colOff>108050</xdr:colOff>
      <xdr:row>7</xdr:row>
      <xdr:rowOff>118650</xdr:rowOff>
    </xdr:to>
    <xdr:sp macro="" textlink="">
      <xdr:nvSpPr>
        <xdr:cNvPr id="18" name="Fluxograma: Vários Documentos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292600" y="14668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6</xdr:row>
      <xdr:rowOff>76200</xdr:rowOff>
    </xdr:from>
    <xdr:to>
      <xdr:col>9</xdr:col>
      <xdr:colOff>577950</xdr:colOff>
      <xdr:row>7</xdr:row>
      <xdr:rowOff>118650</xdr:rowOff>
    </xdr:to>
    <xdr:sp macro="" textlink="">
      <xdr:nvSpPr>
        <xdr:cNvPr id="19" name="Fluxograma: Vários Documentos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6019800" y="14668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8</xdr:row>
      <xdr:rowOff>139700</xdr:rowOff>
    </xdr:from>
    <xdr:to>
      <xdr:col>4</xdr:col>
      <xdr:colOff>228700</xdr:colOff>
      <xdr:row>9</xdr:row>
      <xdr:rowOff>182150</xdr:rowOff>
    </xdr:to>
    <xdr:sp macro="" textlink="">
      <xdr:nvSpPr>
        <xdr:cNvPr id="20" name="Fluxograma: Vários Documentos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2527300" y="20066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8</xdr:row>
      <xdr:rowOff>139700</xdr:rowOff>
    </xdr:from>
    <xdr:to>
      <xdr:col>7</xdr:col>
      <xdr:colOff>108050</xdr:colOff>
      <xdr:row>9</xdr:row>
      <xdr:rowOff>182150</xdr:rowOff>
    </xdr:to>
    <xdr:sp macro="" textlink="">
      <xdr:nvSpPr>
        <xdr:cNvPr id="21" name="Fluxograma: Vários Documentos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4292600" y="200660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8</xdr:row>
      <xdr:rowOff>139700</xdr:rowOff>
    </xdr:from>
    <xdr:to>
      <xdr:col>9</xdr:col>
      <xdr:colOff>577950</xdr:colOff>
      <xdr:row>9</xdr:row>
      <xdr:rowOff>182150</xdr:rowOff>
    </xdr:to>
    <xdr:sp macro="" textlink="">
      <xdr:nvSpPr>
        <xdr:cNvPr id="22" name="Fluxograma: Vários Documentos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6019800" y="200660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11</xdr:row>
      <xdr:rowOff>76200</xdr:rowOff>
    </xdr:from>
    <xdr:to>
      <xdr:col>4</xdr:col>
      <xdr:colOff>228700</xdr:colOff>
      <xdr:row>12</xdr:row>
      <xdr:rowOff>118650</xdr:rowOff>
    </xdr:to>
    <xdr:sp macro="" textlink="">
      <xdr:nvSpPr>
        <xdr:cNvPr id="23" name="Fluxograma: Vários Documentos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527300" y="25717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520700</xdr:colOff>
      <xdr:row>11</xdr:row>
      <xdr:rowOff>76200</xdr:rowOff>
    </xdr:from>
    <xdr:to>
      <xdr:col>7</xdr:col>
      <xdr:colOff>108050</xdr:colOff>
      <xdr:row>12</xdr:row>
      <xdr:rowOff>118650</xdr:rowOff>
    </xdr:to>
    <xdr:sp macro="" textlink="">
      <xdr:nvSpPr>
        <xdr:cNvPr id="24" name="Fluxograma: Vários Documentos 23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292600" y="2571750"/>
          <a:ext cx="216000" cy="252000"/>
        </a:xfrm>
        <a:prstGeom prst="flowChartMultidocument">
          <a:avLst/>
        </a:prstGeom>
        <a:ln>
          <a:solidFill>
            <a:srgbClr val="298CE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361950</xdr:colOff>
      <xdr:row>11</xdr:row>
      <xdr:rowOff>76200</xdr:rowOff>
    </xdr:from>
    <xdr:to>
      <xdr:col>9</xdr:col>
      <xdr:colOff>577950</xdr:colOff>
      <xdr:row>12</xdr:row>
      <xdr:rowOff>118650</xdr:rowOff>
    </xdr:to>
    <xdr:sp macro="" textlink="">
      <xdr:nvSpPr>
        <xdr:cNvPr id="25" name="Fluxograma: Vários Documentos 2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6019800" y="2571750"/>
          <a:ext cx="216000" cy="252000"/>
        </a:xfrm>
        <a:prstGeom prst="flowChartMultidocumen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13</xdr:row>
      <xdr:rowOff>203200</xdr:rowOff>
    </xdr:from>
    <xdr:to>
      <xdr:col>4</xdr:col>
      <xdr:colOff>228700</xdr:colOff>
      <xdr:row>15</xdr:row>
      <xdr:rowOff>36100</xdr:rowOff>
    </xdr:to>
    <xdr:sp macro="" textlink="">
      <xdr:nvSpPr>
        <xdr:cNvPr id="26" name="Fluxograma: Vários Documentos 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527300" y="311785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12700</xdr:colOff>
      <xdr:row>16</xdr:row>
      <xdr:rowOff>127000</xdr:rowOff>
    </xdr:from>
    <xdr:to>
      <xdr:col>4</xdr:col>
      <xdr:colOff>228700</xdr:colOff>
      <xdr:row>17</xdr:row>
      <xdr:rowOff>169450</xdr:rowOff>
    </xdr:to>
    <xdr:sp macro="" textlink="">
      <xdr:nvSpPr>
        <xdr:cNvPr id="27" name="Fluxograma: Vários Documentos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527300" y="3670300"/>
          <a:ext cx="216000" cy="252000"/>
        </a:xfrm>
        <a:prstGeom prst="flowChartMultidocument">
          <a:avLst/>
        </a:prstGeom>
        <a:ln>
          <a:solidFill>
            <a:srgbClr val="00298D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73660</xdr:colOff>
      <xdr:row>0</xdr:row>
      <xdr:rowOff>0</xdr:rowOff>
    </xdr:from>
    <xdr:to>
      <xdr:col>0</xdr:col>
      <xdr:colOff>650879</xdr:colOff>
      <xdr:row>1</xdr:row>
      <xdr:rowOff>76350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73660" y="0"/>
          <a:ext cx="577219" cy="30495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28</xdr:row>
      <xdr:rowOff>0</xdr:rowOff>
    </xdr:from>
    <xdr:to>
      <xdr:col>0</xdr:col>
      <xdr:colOff>732700</xdr:colOff>
      <xdr:row>32</xdr:row>
      <xdr:rowOff>4014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32350"/>
          <a:ext cx="720000" cy="7072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17</xdr:row>
      <xdr:rowOff>0</xdr:rowOff>
    </xdr:from>
    <xdr:to>
      <xdr:col>0</xdr:col>
      <xdr:colOff>751750</xdr:colOff>
      <xdr:row>21</xdr:row>
      <xdr:rowOff>81644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01571"/>
          <a:ext cx="739050" cy="680358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148167</xdr:colOff>
      <xdr:row>0</xdr:row>
      <xdr:rowOff>10583</xdr:rowOff>
    </xdr:from>
    <xdr:to>
      <xdr:col>0</xdr:col>
      <xdr:colOff>725386</xdr:colOff>
      <xdr:row>1</xdr:row>
      <xdr:rowOff>93283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CBF67E6-A148-4CA4-91A9-96C37FD9C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8167" y="10583"/>
          <a:ext cx="577219" cy="304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22</xdr:row>
      <xdr:rowOff>0</xdr:rowOff>
    </xdr:from>
    <xdr:to>
      <xdr:col>0</xdr:col>
      <xdr:colOff>735875</xdr:colOff>
      <xdr:row>26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80832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F19BC49-F7B9-4CF8-BA52-3C82B7547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74</xdr:row>
      <xdr:rowOff>0</xdr:rowOff>
    </xdr:from>
    <xdr:to>
      <xdr:col>0</xdr:col>
      <xdr:colOff>732700</xdr:colOff>
      <xdr:row>78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0860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80832</xdr:rowOff>
    </xdr:to>
    <xdr:pic>
      <xdr:nvPicPr>
        <xdr:cNvPr id="5" name="Imagem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674DE1-6CEF-405E-9342-A9C6EED0B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53</xdr:row>
      <xdr:rowOff>0</xdr:rowOff>
    </xdr:from>
    <xdr:to>
      <xdr:col>0</xdr:col>
      <xdr:colOff>732700</xdr:colOff>
      <xdr:row>57</xdr:row>
      <xdr:rowOff>116726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363450"/>
          <a:ext cx="720000" cy="70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577219</xdr:colOff>
      <xdr:row>1</xdr:row>
      <xdr:rowOff>85875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6CBA7C0-637F-459E-98DF-BB1895F2E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0" y="0"/>
          <a:ext cx="577219" cy="304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608875</xdr:colOff>
      <xdr:row>21</xdr:row>
      <xdr:rowOff>74706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7352"/>
          <a:ext cx="720000" cy="70223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770894</xdr:colOff>
      <xdr:row>2</xdr:row>
      <xdr:rowOff>150</xdr:rowOff>
    </xdr:to>
    <xdr:pic>
      <xdr:nvPicPr>
        <xdr:cNvPr id="4" name="Imagem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615E9A3-866C-4D7B-AEDA-16F6FB96D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0025" y="0"/>
          <a:ext cx="577219" cy="304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23</xdr:row>
      <xdr:rowOff>0</xdr:rowOff>
    </xdr:from>
    <xdr:to>
      <xdr:col>0</xdr:col>
      <xdr:colOff>735875</xdr:colOff>
      <xdr:row>27</xdr:row>
      <xdr:rowOff>116726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76850"/>
          <a:ext cx="720000" cy="707852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0</xdr:row>
      <xdr:rowOff>42334</xdr:rowOff>
    </xdr:from>
    <xdr:to>
      <xdr:col>0</xdr:col>
      <xdr:colOff>778302</xdr:colOff>
      <xdr:row>1</xdr:row>
      <xdr:rowOff>125034</xdr:rowOff>
    </xdr:to>
    <xdr:pic>
      <xdr:nvPicPr>
        <xdr:cNvPr id="2" name="Imagem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CCB71D-70BB-4751-9520-B920F37DC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01083" y="42334"/>
          <a:ext cx="577219" cy="304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CVC Corp 2021">
  <a:themeElements>
    <a:clrScheme name="CVC Corp">
      <a:dk1>
        <a:sysClr val="windowText" lastClr="000000"/>
      </a:dk1>
      <a:lt1>
        <a:sysClr val="window" lastClr="FFFFFF"/>
      </a:lt1>
      <a:dk2>
        <a:srgbClr val="002E5D"/>
      </a:dk2>
      <a:lt2>
        <a:srgbClr val="FFD100"/>
      </a:lt2>
      <a:accent1>
        <a:srgbClr val="002E5D"/>
      </a:accent1>
      <a:accent2>
        <a:srgbClr val="FFD100"/>
      </a:accent2>
      <a:accent3>
        <a:srgbClr val="5B6770"/>
      </a:accent3>
      <a:accent4>
        <a:srgbClr val="111111"/>
      </a:accent4>
      <a:accent5>
        <a:srgbClr val="4D4D4D"/>
      </a:accent5>
      <a:accent6>
        <a:srgbClr val="C0C0C0"/>
      </a:accent6>
      <a:hlink>
        <a:srgbClr val="FFFFFF"/>
      </a:hlink>
      <a:folHlink>
        <a:srgbClr val="FFFFFF"/>
      </a:folHlink>
    </a:clrScheme>
    <a:fontScheme name="CVC Corp">
      <a:majorFont>
        <a:latin typeface="Myriad Pro"/>
        <a:ea typeface=""/>
        <a:cs typeface=""/>
      </a:majorFont>
      <a:minorFont>
        <a:latin typeface="Myriad Pr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showGridLines="0" tabSelected="1" zoomScaleNormal="100" workbookViewId="0">
      <selection sqref="A1:C4"/>
    </sheetView>
  </sheetViews>
  <sheetFormatPr defaultColWidth="9" defaultRowHeight="16.5"/>
  <cols>
    <col min="1" max="16384" width="9" style="3"/>
  </cols>
  <sheetData>
    <row r="1" spans="1:13">
      <c r="A1" s="176"/>
      <c r="B1" s="176"/>
      <c r="C1" s="176"/>
      <c r="D1" s="176"/>
      <c r="E1" s="176"/>
      <c r="F1" s="176"/>
      <c r="G1" s="176"/>
      <c r="H1" s="176"/>
      <c r="I1" s="2"/>
      <c r="J1" s="2"/>
      <c r="K1" s="2"/>
    </row>
    <row r="2" spans="1:13" s="8" customFormat="1" ht="26.25">
      <c r="A2" s="176"/>
      <c r="B2" s="176"/>
      <c r="C2" s="176"/>
      <c r="D2" s="177" t="s">
        <v>207</v>
      </c>
      <c r="E2" s="177"/>
      <c r="F2" s="177"/>
      <c r="G2" s="177"/>
      <c r="H2" s="177"/>
      <c r="I2" s="177"/>
      <c r="J2" s="9"/>
      <c r="K2" s="9"/>
    </row>
    <row r="3" spans="1:13" ht="17.25">
      <c r="A3" s="176"/>
      <c r="B3" s="176"/>
      <c r="C3" s="176"/>
      <c r="D3" s="178" t="s">
        <v>213</v>
      </c>
      <c r="E3" s="178"/>
      <c r="F3" s="178"/>
      <c r="G3" s="178"/>
      <c r="H3" s="178"/>
      <c r="I3" s="178"/>
      <c r="J3" s="7"/>
      <c r="K3" s="7"/>
    </row>
    <row r="4" spans="1:13">
      <c r="A4" s="176"/>
      <c r="B4" s="176"/>
      <c r="C4" s="176"/>
      <c r="D4" s="2"/>
      <c r="E4" s="2"/>
      <c r="F4" s="2" t="s">
        <v>208</v>
      </c>
      <c r="G4" s="2"/>
      <c r="H4" s="2"/>
      <c r="I4" s="2"/>
      <c r="J4" s="2"/>
      <c r="K4" s="2"/>
    </row>
    <row r="5" spans="1:13">
      <c r="A5" s="4"/>
      <c r="B5" s="4"/>
      <c r="C5" s="4"/>
      <c r="D5" s="5"/>
      <c r="E5" s="5"/>
      <c r="F5" s="5"/>
      <c r="G5" s="5"/>
      <c r="H5" s="5"/>
      <c r="I5" s="5"/>
      <c r="J5" s="5"/>
      <c r="K5" s="5"/>
    </row>
    <row r="8" spans="1:13" ht="20.25">
      <c r="B8" s="6"/>
    </row>
    <row r="9" spans="1:13">
      <c r="M9" s="10"/>
    </row>
    <row r="10" spans="1:13">
      <c r="M10" s="10"/>
    </row>
    <row r="19" spans="1:11" ht="9.9499999999999993" customHeight="1"/>
    <row r="20" spans="1:11" ht="6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C4"/>
    <mergeCell ref="D1:H1"/>
    <mergeCell ref="D2:I2"/>
    <mergeCell ref="D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Z87"/>
  <sheetViews>
    <sheetView showGridLines="0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6" sqref="N6"/>
    </sheetView>
  </sheetViews>
  <sheetFormatPr defaultColWidth="9" defaultRowHeight="14.25"/>
  <cols>
    <col min="1" max="1" width="42.125" customWidth="1"/>
    <col min="2" max="4" width="14.375" hidden="1" customWidth="1"/>
    <col min="5" max="5" width="12.25" style="11" hidden="1" customWidth="1" collapsed="1"/>
    <col min="6" max="7" width="12.25" style="11" hidden="1" customWidth="1"/>
    <col min="8" max="9" width="12.25" style="12" hidden="1" customWidth="1"/>
    <col min="10" max="11" width="12.25" style="11" hidden="1" customWidth="1" collapsed="1"/>
    <col min="12" max="12" width="12.25" style="12" hidden="1" customWidth="1"/>
    <col min="13" max="13" width="12" style="12" hidden="1" customWidth="1"/>
    <col min="14" max="26" width="12" style="12" customWidth="1"/>
    <col min="27" max="16384" width="9" style="12"/>
  </cols>
  <sheetData>
    <row r="1" spans="1:26" ht="17.25">
      <c r="A1" s="179"/>
      <c r="B1" s="159"/>
      <c r="C1" s="159"/>
      <c r="D1" s="159"/>
      <c r="N1" s="144"/>
      <c r="O1" s="144"/>
      <c r="P1" s="144"/>
    </row>
    <row r="2" spans="1:26" ht="17.25">
      <c r="A2" s="179"/>
      <c r="B2" s="159"/>
      <c r="C2" s="159"/>
      <c r="D2" s="159"/>
    </row>
    <row r="3" spans="1:26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6.5" customHeight="1">
      <c r="A4" s="29" t="s">
        <v>192</v>
      </c>
      <c r="B4" s="50">
        <v>43646</v>
      </c>
      <c r="C4" s="50">
        <v>43738</v>
      </c>
      <c r="D4" s="50">
        <v>43830</v>
      </c>
      <c r="E4" s="50">
        <v>44196</v>
      </c>
      <c r="F4" s="49">
        <v>44286</v>
      </c>
      <c r="G4" s="49">
        <v>44377</v>
      </c>
      <c r="H4" s="49">
        <v>44469</v>
      </c>
      <c r="I4" s="49">
        <v>44561</v>
      </c>
      <c r="J4" s="50">
        <v>44651</v>
      </c>
      <c r="K4" s="50">
        <v>44742</v>
      </c>
      <c r="L4" s="50">
        <v>44834</v>
      </c>
      <c r="M4" s="50">
        <v>44926</v>
      </c>
      <c r="N4" s="50">
        <v>45016</v>
      </c>
      <c r="O4" s="50">
        <v>45107</v>
      </c>
      <c r="P4" s="50">
        <v>45199</v>
      </c>
      <c r="Q4" s="50">
        <v>45291</v>
      </c>
      <c r="R4" s="50">
        <v>45382</v>
      </c>
      <c r="S4" s="50">
        <v>45473</v>
      </c>
      <c r="T4" s="50">
        <v>45565</v>
      </c>
      <c r="U4" s="50">
        <v>45657</v>
      </c>
      <c r="V4" s="50">
        <v>45747</v>
      </c>
      <c r="W4" s="50">
        <v>45838</v>
      </c>
      <c r="X4" s="50">
        <v>45930</v>
      </c>
      <c r="Y4" s="50">
        <v>46022</v>
      </c>
      <c r="Z4" s="50">
        <v>46112</v>
      </c>
    </row>
    <row r="5" spans="1:26" ht="16.5" customHeight="1">
      <c r="A5" s="25" t="s">
        <v>35</v>
      </c>
      <c r="B5" s="26"/>
      <c r="C5" s="26"/>
      <c r="D5" s="26"/>
      <c r="E5" s="12"/>
      <c r="F5" s="12"/>
      <c r="G5" s="12"/>
      <c r="J5" s="12"/>
      <c r="K5" s="12"/>
    </row>
    <row r="6" spans="1:26" ht="6.6" customHeight="1">
      <c r="A6" s="29"/>
      <c r="B6" s="29"/>
      <c r="C6" s="29"/>
      <c r="D6" s="29"/>
      <c r="E6" s="27"/>
      <c r="F6" s="28"/>
      <c r="G6" s="28"/>
      <c r="H6" s="28"/>
      <c r="I6" s="28"/>
      <c r="J6" s="27"/>
      <c r="K6" s="27"/>
    </row>
    <row r="7" spans="1:26" s="13" customFormat="1">
      <c r="A7" s="37" t="s">
        <v>193</v>
      </c>
      <c r="B7" s="37"/>
      <c r="C7" s="37"/>
      <c r="D7" s="37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</row>
    <row r="8" spans="1:26" s="13" customFormat="1">
      <c r="A8" s="165" t="s">
        <v>194</v>
      </c>
      <c r="B8" s="38"/>
      <c r="C8" s="38"/>
      <c r="D8" s="38"/>
      <c r="E8" s="51">
        <v>375.1</v>
      </c>
      <c r="F8" s="51">
        <v>308.3</v>
      </c>
      <c r="G8" s="51">
        <v>308.3</v>
      </c>
      <c r="H8" s="51">
        <v>308.3</v>
      </c>
      <c r="I8" s="51">
        <v>308.3</v>
      </c>
      <c r="J8" s="51">
        <v>308.3</v>
      </c>
      <c r="K8" s="51">
        <v>308.3</v>
      </c>
      <c r="L8" s="51">
        <v>308.3</v>
      </c>
      <c r="M8" s="51">
        <v>308.3</v>
      </c>
      <c r="N8" s="51">
        <v>308.29199999999997</v>
      </c>
      <c r="O8" s="51">
        <v>308.29199999999997</v>
      </c>
      <c r="P8" s="51">
        <v>231.24799999999999</v>
      </c>
      <c r="Q8" s="51">
        <v>231.24799999999999</v>
      </c>
      <c r="R8" s="51">
        <v>231.24799999999999</v>
      </c>
      <c r="S8" s="51">
        <v>231.24799999999999</v>
      </c>
      <c r="T8" s="51">
        <v>231.24799999999999</v>
      </c>
      <c r="U8" s="51">
        <v>231.24799999999999</v>
      </c>
      <c r="V8" s="51">
        <v>231.24799999999999</v>
      </c>
      <c r="W8" s="51">
        <v>161.136</v>
      </c>
      <c r="X8" s="51">
        <v>139.72800000000001</v>
      </c>
      <c r="Y8" s="51">
        <v>139.72800000000001</v>
      </c>
      <c r="Z8" s="51">
        <v>139.72800000000001</v>
      </c>
    </row>
    <row r="9" spans="1:26" s="13" customFormat="1">
      <c r="A9" s="165" t="s">
        <v>195</v>
      </c>
      <c r="B9" s="38"/>
      <c r="C9" s="38"/>
      <c r="D9" s="38"/>
      <c r="E9" s="51">
        <v>491</v>
      </c>
      <c r="F9" s="51">
        <v>543.70000000000005</v>
      </c>
      <c r="G9" s="51">
        <v>533.6</v>
      </c>
      <c r="H9" s="51">
        <v>681.7</v>
      </c>
      <c r="I9" s="51">
        <v>691</v>
      </c>
      <c r="J9" s="51">
        <v>538.6</v>
      </c>
      <c r="K9" s="51">
        <v>555.9</v>
      </c>
      <c r="L9" s="51">
        <v>575.6</v>
      </c>
      <c r="M9" s="51">
        <v>609.4</v>
      </c>
      <c r="N9" s="51">
        <v>607.24300000000005</v>
      </c>
      <c r="O9" s="51">
        <v>590.16499999999996</v>
      </c>
      <c r="P9" s="51">
        <v>568.23099999999999</v>
      </c>
      <c r="Q9" s="51">
        <v>610.72699999999998</v>
      </c>
      <c r="R9" s="51">
        <v>584.97699999999998</v>
      </c>
      <c r="S9" s="51">
        <v>586.57600000000002</v>
      </c>
      <c r="T9" s="51">
        <v>562.03700000000003</v>
      </c>
      <c r="U9" s="51">
        <v>534.83900000000006</v>
      </c>
      <c r="V9" s="51">
        <v>508.78</v>
      </c>
      <c r="W9" s="51">
        <v>554.51700000000005</v>
      </c>
      <c r="X9" s="51">
        <v>546.34699999999998</v>
      </c>
      <c r="Y9" s="51">
        <v>539.03499999999997</v>
      </c>
      <c r="Z9" s="51">
        <v>544.63199999999995</v>
      </c>
    </row>
    <row r="10" spans="1:26" s="13" customFormat="1">
      <c r="A10" s="165" t="s">
        <v>196</v>
      </c>
      <c r="B10" s="38"/>
      <c r="C10" s="38"/>
      <c r="D10" s="38"/>
      <c r="E10" s="51">
        <v>31</v>
      </c>
      <c r="F10" s="51">
        <v>29.3</v>
      </c>
      <c r="G10" s="51">
        <v>23.9</v>
      </c>
      <c r="H10" s="51">
        <v>22.4</v>
      </c>
      <c r="I10" s="51">
        <v>31.1</v>
      </c>
      <c r="J10" s="51">
        <v>28.9</v>
      </c>
      <c r="K10" s="51">
        <v>29.5</v>
      </c>
      <c r="L10" s="51">
        <v>29.3</v>
      </c>
      <c r="M10" s="51">
        <v>28</v>
      </c>
      <c r="N10" s="51">
        <v>24.792000000000002</v>
      </c>
      <c r="O10" s="51">
        <v>22.817</v>
      </c>
      <c r="P10" s="51">
        <v>22.35</v>
      </c>
      <c r="Q10" s="51">
        <v>22.07</v>
      </c>
      <c r="R10" s="51">
        <v>20.681000000000001</v>
      </c>
      <c r="S10" s="51">
        <v>19.736999999999998</v>
      </c>
      <c r="T10" s="51">
        <v>18.637</v>
      </c>
      <c r="U10" s="51">
        <v>17.849</v>
      </c>
      <c r="V10" s="51">
        <v>17.132000000000001</v>
      </c>
      <c r="W10" s="51">
        <v>16.93</v>
      </c>
      <c r="X10" s="51">
        <v>16.196000000000002</v>
      </c>
      <c r="Y10" s="51">
        <v>16.972000000000001</v>
      </c>
      <c r="Z10" s="51">
        <v>16.199000000000002</v>
      </c>
    </row>
    <row r="11" spans="1:26" s="13" customFormat="1">
      <c r="A11" s="165" t="s">
        <v>98</v>
      </c>
      <c r="B11" s="38"/>
      <c r="C11" s="38"/>
      <c r="D11" s="38"/>
      <c r="E11" s="51">
        <v>1111.7</v>
      </c>
      <c r="F11" s="51">
        <v>1066</v>
      </c>
      <c r="G11" s="51">
        <v>1110.9000000000001</v>
      </c>
      <c r="H11" s="51">
        <v>1472.1</v>
      </c>
      <c r="I11" s="51">
        <v>1016.8</v>
      </c>
      <c r="J11" s="51">
        <v>774.4</v>
      </c>
      <c r="K11" s="51">
        <v>1074.5999999999999</v>
      </c>
      <c r="L11" s="51">
        <v>925.3</v>
      </c>
      <c r="M11" s="51">
        <v>480.7</v>
      </c>
      <c r="N11" s="51">
        <v>566.07500000000005</v>
      </c>
      <c r="O11" s="51">
        <v>594.47</v>
      </c>
      <c r="P11" s="51">
        <v>986.44899999999996</v>
      </c>
      <c r="Q11" s="51">
        <v>810.87699999999995</v>
      </c>
      <c r="R11" s="51">
        <v>830.82799999999997</v>
      </c>
      <c r="S11" s="51">
        <v>1060.0509999999999</v>
      </c>
      <c r="T11" s="51">
        <v>1087.7739999999999</v>
      </c>
      <c r="U11" s="51">
        <v>888.06600000000003</v>
      </c>
      <c r="V11" s="51">
        <v>921.97500000000002</v>
      </c>
      <c r="W11" s="51">
        <v>1034.856</v>
      </c>
      <c r="X11" s="51">
        <v>998.81899999999996</v>
      </c>
      <c r="Y11" s="51">
        <v>958.16200000000003</v>
      </c>
      <c r="Z11" s="51">
        <v>946.57600000000002</v>
      </c>
    </row>
    <row r="12" spans="1:26" s="13" customFormat="1">
      <c r="A12" s="165" t="s">
        <v>155</v>
      </c>
      <c r="B12" s="38"/>
      <c r="C12" s="38"/>
      <c r="D12" s="38"/>
      <c r="E12" s="51">
        <v>808.5</v>
      </c>
      <c r="F12" s="51">
        <v>765.8</v>
      </c>
      <c r="G12" s="51">
        <v>680.9</v>
      </c>
      <c r="H12" s="51">
        <v>735</v>
      </c>
      <c r="I12" s="51">
        <v>692.4</v>
      </c>
      <c r="J12" s="51">
        <v>559.4</v>
      </c>
      <c r="K12" s="51">
        <v>718.2</v>
      </c>
      <c r="L12" s="51">
        <v>645.20000000000005</v>
      </c>
      <c r="M12" s="51">
        <v>415.5</v>
      </c>
      <c r="N12" s="51">
        <v>425.90600000000001</v>
      </c>
      <c r="O12" s="51">
        <v>560.65700000000004</v>
      </c>
      <c r="P12" s="51">
        <v>572.04</v>
      </c>
      <c r="Q12" s="51">
        <v>472.81400000000002</v>
      </c>
      <c r="R12" s="51">
        <v>409.91800000000001</v>
      </c>
      <c r="S12" s="51">
        <v>528.43499999999995</v>
      </c>
      <c r="T12" s="51">
        <v>476.72899999999998</v>
      </c>
      <c r="U12" s="51">
        <v>493.88499999999999</v>
      </c>
      <c r="V12" s="51">
        <v>517.4</v>
      </c>
      <c r="W12" s="51">
        <v>581.07000000000005</v>
      </c>
      <c r="X12" s="51">
        <v>512.09500000000003</v>
      </c>
      <c r="Y12" s="51">
        <v>596.23300000000006</v>
      </c>
      <c r="Z12" s="51">
        <v>567.67499999999995</v>
      </c>
    </row>
    <row r="13" spans="1:26" s="13" customFormat="1">
      <c r="A13" s="165" t="s">
        <v>197</v>
      </c>
      <c r="B13" s="38"/>
      <c r="C13" s="38"/>
      <c r="D13" s="38"/>
      <c r="E13" s="51">
        <v>35</v>
      </c>
      <c r="F13" s="51">
        <v>68.8</v>
      </c>
      <c r="G13" s="51">
        <v>69</v>
      </c>
      <c r="H13" s="51">
        <v>72.900000000000006</v>
      </c>
      <c r="I13" s="51">
        <v>60.4</v>
      </c>
      <c r="J13" s="51">
        <v>59.7</v>
      </c>
      <c r="K13" s="51">
        <v>64.599999999999994</v>
      </c>
      <c r="L13" s="51">
        <v>58.6</v>
      </c>
      <c r="M13" s="51">
        <v>61.3</v>
      </c>
      <c r="N13" s="51">
        <v>72.957999999999998</v>
      </c>
      <c r="O13" s="51">
        <v>62.161999999999999</v>
      </c>
      <c r="P13" s="51">
        <v>54.432000000000002</v>
      </c>
      <c r="Q13" s="51">
        <v>52.021999999999998</v>
      </c>
      <c r="R13" s="51">
        <v>75.715000000000003</v>
      </c>
      <c r="S13" s="51">
        <v>66.858000000000004</v>
      </c>
      <c r="T13" s="51">
        <v>56.915999999999997</v>
      </c>
      <c r="U13" s="51">
        <v>46.301000000000002</v>
      </c>
      <c r="V13" s="51">
        <v>45.122999999999998</v>
      </c>
      <c r="W13" s="51">
        <v>46.076999999999998</v>
      </c>
      <c r="X13" s="51">
        <v>53.500999999999998</v>
      </c>
      <c r="Y13" s="51">
        <v>68.185000000000002</v>
      </c>
      <c r="Z13" s="51">
        <v>120.556</v>
      </c>
    </row>
    <row r="14" spans="1:26" s="13" customFormat="1">
      <c r="A14" s="165" t="s">
        <v>198</v>
      </c>
      <c r="B14" s="38"/>
      <c r="C14" s="38"/>
      <c r="D14" s="38"/>
      <c r="E14" s="51">
        <v>36.1</v>
      </c>
      <c r="F14" s="51">
        <v>31</v>
      </c>
      <c r="G14" s="51">
        <v>23.3</v>
      </c>
      <c r="H14" s="51">
        <v>30.9</v>
      </c>
      <c r="I14" s="51">
        <v>33.6</v>
      </c>
      <c r="J14" s="51">
        <v>59.5</v>
      </c>
      <c r="K14" s="51">
        <v>55.1</v>
      </c>
      <c r="L14" s="51">
        <v>51.2</v>
      </c>
      <c r="M14" s="51">
        <v>54.3</v>
      </c>
      <c r="N14" s="51">
        <v>48.430999999999997</v>
      </c>
      <c r="O14" s="51">
        <v>44.079000000000001</v>
      </c>
      <c r="P14" s="51">
        <v>43.621000000000002</v>
      </c>
      <c r="Q14" s="51">
        <v>62.692</v>
      </c>
      <c r="R14" s="51">
        <v>56.460999999999999</v>
      </c>
      <c r="S14" s="51">
        <v>51.804000000000002</v>
      </c>
      <c r="T14" s="51">
        <v>48.951999999999998</v>
      </c>
      <c r="U14" s="51">
        <v>56.646000000000001</v>
      </c>
      <c r="V14" s="51">
        <v>50.354999999999997</v>
      </c>
      <c r="W14" s="51">
        <v>43.561</v>
      </c>
      <c r="X14" s="51">
        <v>44.064</v>
      </c>
      <c r="Y14" s="51">
        <v>52.067999999999998</v>
      </c>
      <c r="Z14" s="51">
        <v>126.876</v>
      </c>
    </row>
    <row r="15" spans="1:26" s="13" customFormat="1">
      <c r="A15" s="165" t="s">
        <v>199</v>
      </c>
      <c r="B15" s="38"/>
      <c r="C15" s="38"/>
      <c r="D15" s="38"/>
      <c r="E15" s="51">
        <v>159</v>
      </c>
      <c r="F15" s="51">
        <v>134.30000000000001</v>
      </c>
      <c r="G15" s="51">
        <v>201.1</v>
      </c>
      <c r="H15" s="51">
        <v>230.3</v>
      </c>
      <c r="I15" s="51">
        <v>225.2</v>
      </c>
      <c r="J15" s="51">
        <v>248.9</v>
      </c>
      <c r="K15" s="51">
        <v>266</v>
      </c>
      <c r="L15" s="51">
        <v>243.5</v>
      </c>
      <c r="M15" s="51">
        <v>178.8</v>
      </c>
      <c r="N15" s="51">
        <v>190.31299999999999</v>
      </c>
      <c r="O15" s="51">
        <v>163.554</v>
      </c>
      <c r="P15" s="51">
        <v>200.404</v>
      </c>
      <c r="Q15" s="51">
        <v>125.9</v>
      </c>
      <c r="R15" s="51">
        <v>185.95599999999999</v>
      </c>
      <c r="S15" s="51">
        <v>137.43299999999999</v>
      </c>
      <c r="T15" s="51">
        <v>129.108</v>
      </c>
      <c r="U15" s="51">
        <v>82.817999999999998</v>
      </c>
      <c r="V15" s="51">
        <v>85.908000000000001</v>
      </c>
      <c r="W15" s="51">
        <v>-44.216999999999999</v>
      </c>
      <c r="X15" s="51">
        <v>76.28</v>
      </c>
      <c r="Y15" s="51">
        <v>63.942999999999998</v>
      </c>
      <c r="Z15" s="51">
        <v>70.263999999999996</v>
      </c>
    </row>
    <row r="16" spans="1:26" s="13" customFormat="1">
      <c r="A16" s="37"/>
      <c r="B16" s="37"/>
      <c r="C16" s="37"/>
      <c r="D16" s="37"/>
      <c r="E16" s="55">
        <v>3047.4</v>
      </c>
      <c r="F16" s="55">
        <v>2947</v>
      </c>
      <c r="G16" s="55">
        <v>2950.9</v>
      </c>
      <c r="H16" s="55">
        <v>3553.6</v>
      </c>
      <c r="I16" s="55">
        <v>3058.9</v>
      </c>
      <c r="J16" s="55">
        <v>2577.6999999999998</v>
      </c>
      <c r="K16" s="55">
        <v>3072.2</v>
      </c>
      <c r="L16" s="55">
        <v>2837.1</v>
      </c>
      <c r="M16" s="55">
        <v>2136.4</v>
      </c>
      <c r="N16" s="55">
        <v>2244.0100000000002</v>
      </c>
      <c r="O16" s="55">
        <v>2346.1959999999999</v>
      </c>
      <c r="P16" s="55">
        <v>2678.7750000000001</v>
      </c>
      <c r="Q16" s="55">
        <v>2388.4180000000001</v>
      </c>
      <c r="R16" s="55">
        <f t="shared" ref="R16:W16" si="0">SUM(R8:R15)</f>
        <v>2395.7840000000001</v>
      </c>
      <c r="S16" s="55">
        <f t="shared" si="0"/>
        <v>2682.1420000000003</v>
      </c>
      <c r="T16" s="55">
        <f t="shared" si="0"/>
        <v>2611.4009999999998</v>
      </c>
      <c r="U16" s="55">
        <f t="shared" si="0"/>
        <v>2351.652</v>
      </c>
      <c r="V16" s="55">
        <f t="shared" si="0"/>
        <v>2377.9209999999998</v>
      </c>
      <c r="W16" s="55">
        <f t="shared" si="0"/>
        <v>2393.9300000000003</v>
      </c>
      <c r="X16" s="55">
        <f t="shared" ref="X16" si="1">SUM(X8:X15)</f>
        <v>2387.0300000000007</v>
      </c>
      <c r="Y16" s="55">
        <f>SUM(Y8:Y15)</f>
        <v>2434.3260000000005</v>
      </c>
      <c r="Z16" s="55">
        <f>SUM(Z8:Z15)</f>
        <v>2532.5059999999999</v>
      </c>
    </row>
    <row r="17" spans="1:26">
      <c r="A17" s="41"/>
      <c r="E17" s="57"/>
      <c r="F17" s="57"/>
      <c r="G17" s="57"/>
      <c r="H17" s="57"/>
      <c r="I17" s="57"/>
      <c r="J17" s="57"/>
      <c r="K17" s="57"/>
      <c r="L17" s="57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</row>
    <row r="18" spans="1:26" s="13" customFormat="1">
      <c r="A18" s="37" t="s">
        <v>200</v>
      </c>
      <c r="B18" s="37"/>
      <c r="C18" s="37"/>
      <c r="D18" s="37"/>
      <c r="E18" s="54"/>
      <c r="F18" s="54"/>
      <c r="G18" s="54"/>
      <c r="H18" s="54"/>
      <c r="I18" s="54"/>
      <c r="J18" s="54"/>
      <c r="K18" s="54"/>
      <c r="L18" s="54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</row>
    <row r="19" spans="1:26">
      <c r="A19" s="165" t="s">
        <v>114</v>
      </c>
      <c r="B19" s="38"/>
      <c r="C19" s="38"/>
      <c r="D19" s="38"/>
      <c r="E19" s="51">
        <v>391.5</v>
      </c>
      <c r="F19" s="51">
        <v>286.3</v>
      </c>
      <c r="G19" s="51">
        <v>296.7</v>
      </c>
      <c r="H19" s="51">
        <v>404.5</v>
      </c>
      <c r="I19" s="51">
        <v>496.3</v>
      </c>
      <c r="J19" s="51">
        <v>481.7</v>
      </c>
      <c r="K19" s="51">
        <v>454.5</v>
      </c>
      <c r="L19" s="51">
        <v>465.1</v>
      </c>
      <c r="M19" s="51">
        <v>542.70000000000005</v>
      </c>
      <c r="N19" s="51">
        <v>495.05399999999997</v>
      </c>
      <c r="O19" s="51">
        <v>563.97799999999995</v>
      </c>
      <c r="P19" s="51">
        <v>743.60400000000004</v>
      </c>
      <c r="Q19" s="51">
        <v>642.64700000000005</v>
      </c>
      <c r="R19" s="51">
        <v>520.524</v>
      </c>
      <c r="S19" s="51">
        <v>489.13900000000001</v>
      </c>
      <c r="T19" s="51">
        <v>567.19899999999996</v>
      </c>
      <c r="U19" s="51">
        <v>471.87299999999999</v>
      </c>
      <c r="V19" s="51">
        <v>443.04599999999999</v>
      </c>
      <c r="W19" s="51">
        <v>407.52499999999998</v>
      </c>
      <c r="X19" s="51">
        <v>489.04</v>
      </c>
      <c r="Y19" s="51">
        <v>529.59799999999996</v>
      </c>
      <c r="Z19" s="51">
        <v>557.43100000000004</v>
      </c>
    </row>
    <row r="20" spans="1:26">
      <c r="A20" s="165" t="s">
        <v>201</v>
      </c>
      <c r="B20" s="38"/>
      <c r="C20" s="38"/>
      <c r="D20" s="38"/>
      <c r="E20" s="51">
        <v>2002.2</v>
      </c>
      <c r="F20" s="51">
        <v>1906.1</v>
      </c>
      <c r="G20" s="51">
        <v>2063.4</v>
      </c>
      <c r="H20" s="51">
        <v>2289.3000000000002</v>
      </c>
      <c r="I20" s="51">
        <v>1945.6</v>
      </c>
      <c r="J20" s="51">
        <v>1737.7</v>
      </c>
      <c r="K20" s="51">
        <v>1885.6</v>
      </c>
      <c r="L20" s="51">
        <v>1643.4</v>
      </c>
      <c r="M20" s="51">
        <v>1258.8</v>
      </c>
      <c r="N20" s="51">
        <v>1299.271</v>
      </c>
      <c r="O20" s="51">
        <v>1438.433</v>
      </c>
      <c r="P20" s="51">
        <v>1265.1579999999999</v>
      </c>
      <c r="Q20" s="51">
        <v>1111.2940000000001</v>
      </c>
      <c r="R20" s="51">
        <v>1164.0239999999999</v>
      </c>
      <c r="S20" s="51">
        <v>1416.848</v>
      </c>
      <c r="T20" s="51">
        <v>1322.3689999999999</v>
      </c>
      <c r="U20" s="51">
        <v>1344.434</v>
      </c>
      <c r="V20" s="51">
        <v>1370.578</v>
      </c>
      <c r="W20" s="51">
        <v>1574.0119999999999</v>
      </c>
      <c r="X20" s="51">
        <v>1512.01</v>
      </c>
      <c r="Y20" s="51">
        <v>1580.962</v>
      </c>
      <c r="Z20" s="51">
        <v>1576.3520000000001</v>
      </c>
    </row>
    <row r="21" spans="1:26">
      <c r="A21" s="165" t="s">
        <v>202</v>
      </c>
      <c r="B21" s="38"/>
      <c r="C21" s="38"/>
      <c r="D21" s="38"/>
      <c r="E21" s="51">
        <v>284.60000000000002</v>
      </c>
      <c r="F21" s="51">
        <v>304.60000000000002</v>
      </c>
      <c r="G21" s="51">
        <v>278</v>
      </c>
      <c r="H21" s="51">
        <v>287.8</v>
      </c>
      <c r="I21" s="51">
        <v>315.5</v>
      </c>
      <c r="J21" s="51">
        <v>300.5</v>
      </c>
      <c r="K21" s="51">
        <v>283.8</v>
      </c>
      <c r="L21" s="51">
        <v>286</v>
      </c>
      <c r="M21" s="51">
        <v>257.7</v>
      </c>
      <c r="N21" s="51">
        <v>242.86699999999999</v>
      </c>
      <c r="O21" s="51">
        <v>218.11199999999999</v>
      </c>
      <c r="P21" s="51">
        <v>197.79</v>
      </c>
      <c r="Q21" s="51">
        <v>175.84299999999999</v>
      </c>
      <c r="R21" s="51">
        <v>144.60599999999999</v>
      </c>
      <c r="S21" s="51">
        <v>155.845</v>
      </c>
      <c r="T21" s="51">
        <v>164.233</v>
      </c>
      <c r="U21" s="51">
        <v>166.911</v>
      </c>
      <c r="V21" s="51">
        <v>171.22499999999999</v>
      </c>
      <c r="W21" s="51">
        <v>130.66999999999999</v>
      </c>
      <c r="X21" s="51">
        <v>153.59700000000001</v>
      </c>
      <c r="Y21" s="51">
        <v>126.24900000000001</v>
      </c>
      <c r="Z21" s="51">
        <v>124.443</v>
      </c>
    </row>
    <row r="22" spans="1:26">
      <c r="A22" s="37"/>
      <c r="B22" s="37"/>
      <c r="C22" s="37"/>
      <c r="D22" s="37"/>
      <c r="E22" s="55">
        <v>2678.3</v>
      </c>
      <c r="F22" s="55">
        <v>2497</v>
      </c>
      <c r="G22" s="55">
        <v>2638.1</v>
      </c>
      <c r="H22" s="55">
        <v>2981.6</v>
      </c>
      <c r="I22" s="55">
        <v>2757.4</v>
      </c>
      <c r="J22" s="55">
        <v>2519.9</v>
      </c>
      <c r="K22" s="55">
        <v>2624</v>
      </c>
      <c r="L22" s="55">
        <v>2394.5</v>
      </c>
      <c r="M22" s="55">
        <v>2059.1999999999998</v>
      </c>
      <c r="N22" s="55">
        <v>2037.192</v>
      </c>
      <c r="O22" s="55">
        <v>2220.5230000000001</v>
      </c>
      <c r="P22" s="55">
        <v>2206.5520000000001</v>
      </c>
      <c r="Q22" s="55">
        <v>1929.7840000000001</v>
      </c>
      <c r="R22" s="55">
        <f t="shared" ref="R22:W22" si="2">SUM(R19:R21)</f>
        <v>1829.1539999999998</v>
      </c>
      <c r="S22" s="55">
        <f t="shared" si="2"/>
        <v>2061.8319999999999</v>
      </c>
      <c r="T22" s="55">
        <f t="shared" si="2"/>
        <v>2053.8009999999999</v>
      </c>
      <c r="U22" s="55">
        <f t="shared" si="2"/>
        <v>1983.2180000000001</v>
      </c>
      <c r="V22" s="55">
        <f t="shared" si="2"/>
        <v>1984.8489999999999</v>
      </c>
      <c r="W22" s="55">
        <f t="shared" si="2"/>
        <v>2112.2069999999999</v>
      </c>
      <c r="X22" s="55">
        <f t="shared" ref="X22" si="3">SUM(X19:X21)</f>
        <v>2154.6469999999999</v>
      </c>
      <c r="Y22" s="55">
        <f>SUM(Y19:Y21)</f>
        <v>2236.8089999999997</v>
      </c>
      <c r="Z22" s="55">
        <f>SUM(Z19:Z21)</f>
        <v>2258.2260000000006</v>
      </c>
    </row>
    <row r="23" spans="1:26" s="13" customFormat="1">
      <c r="A23"/>
      <c r="B23"/>
      <c r="C23"/>
      <c r="D23"/>
      <c r="E23"/>
      <c r="F23"/>
      <c r="G23"/>
      <c r="H23"/>
      <c r="I23"/>
      <c r="J23"/>
      <c r="K23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spans="1:26">
      <c r="E24"/>
      <c r="F24"/>
      <c r="G24"/>
      <c r="J24"/>
      <c r="K24"/>
    </row>
    <row r="27" spans="1:26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>
        <v>0</v>
      </c>
      <c r="P27" s="33">
        <v>0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>
      <c r="E28"/>
      <c r="F28"/>
      <c r="G28"/>
      <c r="J28"/>
      <c r="K28"/>
      <c r="O28" s="51"/>
      <c r="P28" s="51"/>
    </row>
    <row r="29" spans="1:26">
      <c r="O29" s="51"/>
      <c r="P29" s="51"/>
      <c r="Y29"/>
      <c r="Z29"/>
    </row>
    <row r="30" spans="1:26">
      <c r="E30" s="36"/>
      <c r="F30" s="36"/>
      <c r="G30" s="36"/>
      <c r="H30" s="36"/>
      <c r="I30" s="36"/>
      <c r="J30" s="36"/>
      <c r="K30" s="36"/>
      <c r="O30" s="51"/>
      <c r="P30" s="51"/>
      <c r="Y30"/>
      <c r="Z30"/>
    </row>
    <row r="31" spans="1:26">
      <c r="E31" s="36"/>
      <c r="F31" s="36"/>
      <c r="G31" s="36"/>
      <c r="H31" s="36"/>
      <c r="I31" s="36"/>
      <c r="J31" s="36"/>
      <c r="K31" s="36"/>
      <c r="O31" s="51"/>
      <c r="P31" s="51"/>
      <c r="Y31"/>
      <c r="Z31"/>
    </row>
    <row r="32" spans="1:26">
      <c r="E32" s="36"/>
      <c r="F32" s="36"/>
      <c r="G32" s="36"/>
      <c r="H32" s="36"/>
      <c r="I32" s="36"/>
      <c r="J32" s="36"/>
      <c r="K32" s="36"/>
      <c r="O32" s="51"/>
      <c r="P32" s="51"/>
      <c r="Y32"/>
      <c r="Z32"/>
    </row>
    <row r="33" spans="5:26">
      <c r="E33" s="36"/>
      <c r="F33" s="36"/>
      <c r="G33" s="36"/>
      <c r="H33" s="36"/>
      <c r="I33" s="36"/>
      <c r="J33" s="36"/>
      <c r="K33" s="36"/>
      <c r="O33" s="51"/>
      <c r="P33" s="51"/>
      <c r="Y33"/>
      <c r="Z33"/>
    </row>
    <row r="34" spans="5:26">
      <c r="E34" s="36"/>
      <c r="F34" s="36"/>
      <c r="G34" s="36"/>
      <c r="H34" s="36"/>
      <c r="I34" s="36"/>
      <c r="J34" s="36"/>
      <c r="K34" s="36"/>
      <c r="O34" s="51"/>
      <c r="P34" s="51"/>
      <c r="Y34"/>
      <c r="Z34"/>
    </row>
    <row r="35" spans="5:26">
      <c r="E35" s="36"/>
      <c r="F35" s="36"/>
      <c r="G35" s="36"/>
      <c r="H35" s="36"/>
      <c r="I35" s="36"/>
      <c r="J35" s="36"/>
      <c r="K35" s="36"/>
      <c r="O35" s="51"/>
      <c r="P35" s="51"/>
      <c r="Y35"/>
      <c r="Z35"/>
    </row>
    <row r="36" spans="5:26">
      <c r="E36" s="36"/>
      <c r="F36" s="36"/>
      <c r="G36" s="36"/>
      <c r="H36" s="36"/>
      <c r="I36" s="36"/>
      <c r="J36" s="36"/>
      <c r="K36" s="36"/>
      <c r="O36" s="51"/>
      <c r="P36" s="51"/>
      <c r="Y36"/>
      <c r="Z36"/>
    </row>
    <row r="37" spans="5:26">
      <c r="E37" s="36"/>
      <c r="F37" s="36"/>
      <c r="G37" s="36"/>
      <c r="H37" s="36"/>
      <c r="I37" s="36"/>
      <c r="J37" s="36"/>
      <c r="K37" s="36"/>
      <c r="O37" s="51"/>
      <c r="P37" s="51"/>
      <c r="Y37"/>
      <c r="Z37"/>
    </row>
    <row r="38" spans="5:26">
      <c r="E38" s="36"/>
      <c r="F38" s="36"/>
      <c r="G38" s="36"/>
      <c r="H38" s="36"/>
      <c r="I38" s="36"/>
      <c r="J38" s="36"/>
      <c r="K38" s="36"/>
      <c r="O38" s="51"/>
      <c r="P38" s="51"/>
      <c r="Y38"/>
      <c r="Z38"/>
    </row>
    <row r="39" spans="5:26">
      <c r="E39" s="36"/>
      <c r="F39" s="36"/>
      <c r="G39" s="36"/>
      <c r="H39" s="36"/>
      <c r="I39" s="36"/>
      <c r="J39" s="36"/>
      <c r="K39" s="36"/>
      <c r="O39" s="51"/>
      <c r="P39" s="51"/>
      <c r="Y39"/>
      <c r="Z39"/>
    </row>
    <row r="40" spans="5:26">
      <c r="E40" s="36"/>
      <c r="F40" s="36"/>
      <c r="G40" s="36"/>
      <c r="H40" s="36"/>
      <c r="I40" s="36"/>
      <c r="J40" s="36"/>
      <c r="K40" s="36"/>
      <c r="O40" s="51"/>
      <c r="P40" s="51"/>
      <c r="Y40"/>
      <c r="Z40"/>
    </row>
    <row r="41" spans="5:26">
      <c r="E41" s="36"/>
      <c r="F41" s="36"/>
      <c r="G41" s="36"/>
      <c r="H41" s="36"/>
      <c r="I41" s="36"/>
      <c r="J41" s="36"/>
      <c r="K41" s="36"/>
      <c r="O41" s="51"/>
      <c r="P41" s="51"/>
      <c r="Y41"/>
      <c r="Z41"/>
    </row>
    <row r="42" spans="5:26">
      <c r="E42" s="36"/>
      <c r="F42" s="36"/>
      <c r="G42" s="36"/>
      <c r="H42" s="36"/>
      <c r="I42" s="36"/>
      <c r="J42" s="36"/>
      <c r="K42" s="36"/>
      <c r="O42" s="51"/>
      <c r="P42" s="51"/>
      <c r="Y42"/>
      <c r="Z42"/>
    </row>
    <row r="43" spans="5:26">
      <c r="E43" s="36"/>
      <c r="F43" s="36"/>
      <c r="G43" s="36"/>
      <c r="H43" s="36"/>
      <c r="I43" s="36"/>
      <c r="J43" s="36"/>
      <c r="K43" s="36"/>
      <c r="O43" s="51"/>
      <c r="P43" s="51"/>
      <c r="Y43"/>
      <c r="Z43"/>
    </row>
    <row r="44" spans="5:26">
      <c r="E44" s="36"/>
      <c r="F44" s="36"/>
      <c r="G44" s="36"/>
      <c r="H44" s="36"/>
      <c r="I44" s="36"/>
      <c r="J44" s="36"/>
      <c r="K44" s="36"/>
      <c r="O44" s="51"/>
      <c r="P44" s="51"/>
      <c r="Y44"/>
      <c r="Z44"/>
    </row>
    <row r="45" spans="5:26">
      <c r="E45" s="36"/>
      <c r="F45" s="36"/>
      <c r="G45" s="36"/>
      <c r="H45" s="36"/>
      <c r="I45" s="36"/>
      <c r="J45" s="36"/>
      <c r="K45" s="36"/>
      <c r="O45" s="51"/>
      <c r="P45" s="51"/>
      <c r="Y45"/>
      <c r="Z45"/>
    </row>
    <row r="46" spans="5:26">
      <c r="E46" s="36"/>
      <c r="F46" s="36"/>
      <c r="G46" s="36"/>
      <c r="H46" s="36"/>
      <c r="I46" s="36"/>
      <c r="J46" s="36"/>
      <c r="K46" s="36"/>
      <c r="O46" s="51"/>
      <c r="P46" s="51"/>
      <c r="Y46"/>
      <c r="Z46"/>
    </row>
    <row r="47" spans="5:26">
      <c r="E47" s="36"/>
      <c r="F47" s="36"/>
      <c r="G47" s="36"/>
      <c r="H47" s="36"/>
      <c r="I47" s="36"/>
      <c r="J47" s="36"/>
      <c r="K47" s="36"/>
      <c r="O47" s="51"/>
      <c r="P47" s="51"/>
      <c r="Y47"/>
      <c r="Z47"/>
    </row>
    <row r="48" spans="5:26">
      <c r="E48" s="36"/>
      <c r="F48" s="36"/>
      <c r="G48" s="36"/>
      <c r="H48" s="36"/>
      <c r="I48" s="36"/>
      <c r="J48" s="36"/>
      <c r="K48" s="36"/>
      <c r="O48" s="51"/>
      <c r="P48" s="51"/>
      <c r="Y48"/>
      <c r="Z48"/>
    </row>
    <row r="49" spans="5:26">
      <c r="E49" s="36"/>
      <c r="F49" s="36"/>
      <c r="G49" s="36"/>
      <c r="H49" s="36"/>
      <c r="I49" s="36"/>
      <c r="J49" s="36"/>
      <c r="K49" s="36"/>
      <c r="O49" s="51"/>
      <c r="P49" s="51"/>
      <c r="Y49"/>
      <c r="Z49"/>
    </row>
    <row r="50" spans="5:26">
      <c r="E50" s="36"/>
      <c r="F50" s="36"/>
      <c r="G50" s="36"/>
      <c r="H50" s="36"/>
      <c r="I50" s="36"/>
      <c r="J50" s="36"/>
      <c r="K50" s="36"/>
      <c r="O50" s="51"/>
      <c r="P50" s="51"/>
      <c r="Y50"/>
      <c r="Z50"/>
    </row>
    <row r="51" spans="5:26">
      <c r="E51" s="36"/>
      <c r="F51" s="36"/>
      <c r="G51" s="36"/>
      <c r="H51" s="36"/>
      <c r="I51" s="36"/>
      <c r="J51" s="36"/>
      <c r="K51" s="36"/>
      <c r="O51" s="51"/>
      <c r="P51" s="51"/>
      <c r="Y51"/>
      <c r="Z51"/>
    </row>
    <row r="52" spans="5:26">
      <c r="E52" s="36"/>
      <c r="F52" s="36"/>
      <c r="G52" s="36"/>
      <c r="H52" s="36"/>
      <c r="I52" s="36"/>
      <c r="J52" s="36"/>
      <c r="K52" s="36"/>
      <c r="O52" s="51"/>
      <c r="P52" s="51"/>
      <c r="Y52"/>
      <c r="Z52"/>
    </row>
    <row r="53" spans="5:26">
      <c r="E53" s="36"/>
      <c r="F53" s="36"/>
      <c r="G53" s="36"/>
      <c r="H53" s="36"/>
      <c r="I53" s="36"/>
      <c r="J53" s="36"/>
      <c r="K53" s="36"/>
      <c r="O53" s="51"/>
      <c r="P53" s="51"/>
      <c r="Y53"/>
      <c r="Z53"/>
    </row>
    <row r="54" spans="5:26">
      <c r="E54" s="36"/>
      <c r="F54" s="36"/>
      <c r="G54" s="36"/>
      <c r="H54" s="36"/>
      <c r="I54" s="36"/>
      <c r="J54" s="36"/>
      <c r="K54" s="36"/>
      <c r="O54" s="51"/>
      <c r="P54" s="51"/>
      <c r="Y54"/>
      <c r="Z54"/>
    </row>
    <row r="55" spans="5:26">
      <c r="E55" s="36"/>
      <c r="F55" s="36"/>
      <c r="G55" s="36"/>
      <c r="H55" s="36"/>
      <c r="I55" s="36"/>
      <c r="J55" s="36"/>
      <c r="K55" s="36"/>
      <c r="Y55"/>
      <c r="Z55"/>
    </row>
    <row r="56" spans="5:26">
      <c r="E56" s="36"/>
      <c r="F56" s="36"/>
      <c r="G56" s="36"/>
      <c r="H56" s="36"/>
      <c r="I56" s="36"/>
      <c r="J56" s="36"/>
      <c r="K56" s="36"/>
      <c r="Y56"/>
      <c r="Z56"/>
    </row>
    <row r="57" spans="5:26">
      <c r="E57" s="36"/>
      <c r="F57" s="36"/>
      <c r="G57" s="36"/>
      <c r="H57" s="36"/>
      <c r="I57" s="36"/>
      <c r="J57" s="36"/>
      <c r="K57" s="36"/>
      <c r="Y57"/>
      <c r="Z57"/>
    </row>
    <row r="58" spans="5:26">
      <c r="E58" s="36"/>
      <c r="F58" s="36"/>
      <c r="G58" s="36"/>
      <c r="H58" s="36"/>
      <c r="I58" s="36"/>
      <c r="J58" s="36"/>
      <c r="K58" s="36"/>
      <c r="Y58"/>
      <c r="Z58"/>
    </row>
    <row r="59" spans="5:26">
      <c r="E59" s="36"/>
      <c r="F59" s="36"/>
      <c r="G59" s="36"/>
      <c r="H59" s="36"/>
      <c r="I59" s="36"/>
      <c r="J59" s="36"/>
      <c r="K59" s="36"/>
      <c r="Y59"/>
      <c r="Z59"/>
    </row>
    <row r="60" spans="5:26">
      <c r="E60" s="36"/>
      <c r="F60" s="36"/>
      <c r="G60" s="36"/>
      <c r="H60" s="36"/>
      <c r="I60" s="36"/>
      <c r="J60" s="36"/>
      <c r="K60" s="36"/>
      <c r="Y60"/>
      <c r="Z60"/>
    </row>
    <row r="61" spans="5:26">
      <c r="E61" s="36"/>
      <c r="F61" s="36"/>
      <c r="G61" s="36"/>
      <c r="H61" s="36"/>
      <c r="I61" s="36"/>
      <c r="J61" s="36"/>
      <c r="K61" s="36"/>
      <c r="Y61"/>
      <c r="Z61"/>
    </row>
    <row r="62" spans="5:26">
      <c r="E62" s="36"/>
      <c r="F62" s="36"/>
      <c r="G62" s="36"/>
      <c r="H62" s="36"/>
      <c r="I62" s="36"/>
      <c r="J62" s="36"/>
      <c r="K62" s="36"/>
      <c r="Y62"/>
      <c r="Z62"/>
    </row>
    <row r="63" spans="5:26">
      <c r="E63" s="36"/>
      <c r="F63" s="36"/>
      <c r="G63" s="36"/>
      <c r="H63" s="36"/>
      <c r="I63" s="36"/>
      <c r="J63" s="36"/>
      <c r="K63" s="36"/>
      <c r="Y63"/>
      <c r="Z63"/>
    </row>
    <row r="64" spans="5:26">
      <c r="E64" s="36"/>
      <c r="F64" s="36"/>
      <c r="G64" s="36"/>
      <c r="H64" s="36"/>
      <c r="I64" s="36"/>
      <c r="J64" s="36"/>
      <c r="K64" s="36"/>
      <c r="Y64"/>
      <c r="Z64"/>
    </row>
    <row r="65" spans="5:26">
      <c r="E65" s="36"/>
      <c r="F65" s="36"/>
      <c r="G65" s="36"/>
      <c r="H65" s="36"/>
      <c r="I65" s="36"/>
      <c r="J65" s="36"/>
      <c r="K65" s="36"/>
      <c r="Y65"/>
      <c r="Z65"/>
    </row>
    <row r="66" spans="5:26">
      <c r="E66" s="36"/>
      <c r="F66" s="36"/>
      <c r="G66" s="36"/>
      <c r="H66" s="36"/>
      <c r="I66" s="36"/>
      <c r="J66" s="36"/>
      <c r="K66" s="36"/>
      <c r="Y66"/>
      <c r="Z66"/>
    </row>
    <row r="67" spans="5:26">
      <c r="E67" s="36"/>
      <c r="F67" s="36"/>
      <c r="G67" s="36"/>
      <c r="H67" s="36"/>
      <c r="I67" s="36"/>
      <c r="J67" s="36"/>
      <c r="K67" s="36"/>
      <c r="Y67"/>
      <c r="Z67"/>
    </row>
    <row r="68" spans="5:26">
      <c r="E68" s="36"/>
      <c r="F68" s="36"/>
      <c r="G68" s="36"/>
      <c r="H68" s="36"/>
      <c r="I68" s="36"/>
      <c r="J68" s="36"/>
      <c r="K68" s="36"/>
      <c r="Y68"/>
      <c r="Z68"/>
    </row>
    <row r="69" spans="5:26">
      <c r="E69" s="36"/>
      <c r="F69" s="36"/>
      <c r="G69" s="36"/>
      <c r="H69" s="36"/>
      <c r="I69" s="36"/>
      <c r="J69" s="36"/>
      <c r="K69" s="36"/>
      <c r="Y69"/>
      <c r="Z69"/>
    </row>
    <row r="70" spans="5:26">
      <c r="E70" s="36"/>
      <c r="F70" s="36"/>
      <c r="G70" s="36"/>
      <c r="H70" s="36"/>
      <c r="I70" s="36"/>
      <c r="J70" s="36"/>
      <c r="K70" s="36"/>
      <c r="Y70"/>
      <c r="Z70"/>
    </row>
    <row r="71" spans="5:26">
      <c r="E71" s="36"/>
      <c r="F71" s="36"/>
      <c r="G71" s="36"/>
      <c r="H71" s="36"/>
      <c r="I71" s="36"/>
      <c r="J71" s="36"/>
      <c r="K71" s="36"/>
      <c r="Y71"/>
      <c r="Z71"/>
    </row>
    <row r="72" spans="5:26">
      <c r="E72" s="36"/>
      <c r="F72" s="36"/>
      <c r="G72" s="36"/>
      <c r="H72" s="36"/>
      <c r="I72" s="36"/>
      <c r="J72" s="36"/>
      <c r="K72" s="36"/>
      <c r="Y72"/>
      <c r="Z72"/>
    </row>
    <row r="73" spans="5:26">
      <c r="E73" s="36"/>
      <c r="F73" s="36"/>
      <c r="G73" s="36"/>
      <c r="H73" s="36"/>
      <c r="I73" s="36"/>
      <c r="J73" s="36"/>
      <c r="K73" s="36"/>
      <c r="Y73"/>
      <c r="Z73"/>
    </row>
    <row r="74" spans="5:26">
      <c r="E74" s="36"/>
      <c r="F74" s="36"/>
      <c r="G74" s="36"/>
      <c r="H74" s="36"/>
      <c r="I74" s="36"/>
      <c r="J74" s="36"/>
      <c r="K74" s="36"/>
      <c r="Y74"/>
      <c r="Z74"/>
    </row>
    <row r="75" spans="5:26">
      <c r="E75" s="36"/>
      <c r="F75" s="36"/>
      <c r="G75" s="36"/>
      <c r="H75" s="36"/>
      <c r="I75" s="36"/>
      <c r="J75" s="36"/>
      <c r="K75" s="36"/>
      <c r="Y75"/>
      <c r="Z75"/>
    </row>
    <row r="76" spans="5:26">
      <c r="E76" s="36"/>
      <c r="F76" s="36"/>
      <c r="G76" s="36"/>
      <c r="H76" s="36"/>
      <c r="I76" s="36"/>
      <c r="J76" s="36"/>
      <c r="K76" s="36"/>
      <c r="Y76"/>
      <c r="Z76"/>
    </row>
    <row r="77" spans="5:26">
      <c r="E77" s="36"/>
      <c r="F77" s="36"/>
      <c r="G77" s="36"/>
      <c r="H77" s="36"/>
      <c r="I77" s="36"/>
      <c r="J77" s="36"/>
      <c r="K77" s="36"/>
      <c r="Y77"/>
      <c r="Z77"/>
    </row>
    <row r="78" spans="5:26">
      <c r="E78" s="36"/>
      <c r="F78" s="36"/>
      <c r="G78" s="36"/>
      <c r="H78" s="36"/>
      <c r="I78" s="36"/>
      <c r="J78" s="36"/>
      <c r="K78" s="36"/>
      <c r="Y78"/>
      <c r="Z78"/>
    </row>
    <row r="79" spans="5:26">
      <c r="E79" s="36"/>
      <c r="F79" s="36"/>
      <c r="G79" s="36"/>
      <c r="H79" s="36"/>
      <c r="I79" s="36"/>
      <c r="J79" s="36"/>
      <c r="K79" s="36"/>
      <c r="Y79"/>
      <c r="Z79"/>
    </row>
    <row r="80" spans="5:26">
      <c r="E80" s="36"/>
      <c r="F80" s="36"/>
      <c r="G80" s="36"/>
      <c r="H80" s="36"/>
      <c r="I80" s="36"/>
      <c r="J80" s="36"/>
      <c r="K80" s="36"/>
      <c r="Y80"/>
      <c r="Z80"/>
    </row>
    <row r="81" spans="5:26">
      <c r="E81" s="36"/>
      <c r="F81" s="36"/>
      <c r="G81" s="36"/>
      <c r="H81" s="36"/>
      <c r="I81" s="36"/>
      <c r="J81" s="36"/>
      <c r="K81" s="36"/>
      <c r="Y81"/>
      <c r="Z81"/>
    </row>
    <row r="82" spans="5:26">
      <c r="E82" s="36"/>
      <c r="F82" s="36"/>
      <c r="G82" s="36"/>
      <c r="H82" s="36"/>
      <c r="I82" s="36"/>
      <c r="J82" s="36"/>
      <c r="K82" s="36"/>
      <c r="Y82"/>
      <c r="Z82"/>
    </row>
    <row r="83" spans="5:26">
      <c r="E83" s="36"/>
      <c r="F83" s="36"/>
      <c r="G83" s="36"/>
      <c r="H83" s="36"/>
      <c r="I83" s="36"/>
      <c r="J83" s="36"/>
      <c r="K83" s="36"/>
      <c r="Y83"/>
      <c r="Z83"/>
    </row>
    <row r="84" spans="5:26">
      <c r="E84" s="36"/>
      <c r="F84" s="36"/>
      <c r="G84" s="36"/>
      <c r="H84" s="36"/>
      <c r="I84" s="36"/>
      <c r="J84" s="36"/>
      <c r="K84" s="36"/>
      <c r="Y84"/>
      <c r="Z84"/>
    </row>
    <row r="85" spans="5:26">
      <c r="E85" s="36"/>
      <c r="F85" s="36"/>
      <c r="G85" s="36"/>
      <c r="H85" s="36"/>
      <c r="I85" s="36"/>
      <c r="J85" s="36"/>
      <c r="K85" s="36"/>
      <c r="Y85"/>
      <c r="Z85"/>
    </row>
    <row r="86" spans="5:26">
      <c r="E86" s="36"/>
      <c r="F86" s="36"/>
      <c r="G86" s="36"/>
      <c r="H86" s="36"/>
      <c r="I86" s="36"/>
      <c r="J86" s="36"/>
      <c r="K86" s="36"/>
      <c r="Y86"/>
      <c r="Z86"/>
    </row>
    <row r="87" spans="5:26">
      <c r="Y87"/>
      <c r="Z87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AD17"/>
  <sheetViews>
    <sheetView showGridLines="0" zoomScale="115" zoomScaleNormal="11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38.125" customWidth="1"/>
    <col min="2" max="5" width="12.12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0" ht="17.25">
      <c r="A1" s="179"/>
      <c r="B1" s="159"/>
      <c r="C1" s="159"/>
      <c r="D1" s="159"/>
      <c r="E1" s="159"/>
    </row>
    <row r="2" spans="1:30" ht="17.25">
      <c r="A2" s="179"/>
      <c r="B2" s="159"/>
      <c r="C2" s="159"/>
      <c r="D2" s="159"/>
      <c r="E2" s="159"/>
    </row>
    <row r="3" spans="1:3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ht="16.5" customHeight="1">
      <c r="A4" s="29" t="s">
        <v>203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57</v>
      </c>
      <c r="S4" s="34" t="s">
        <v>58</v>
      </c>
      <c r="T4" s="34" t="s">
        <v>59</v>
      </c>
      <c r="U4" s="34" t="s">
        <v>60</v>
      </c>
      <c r="V4" s="34" t="s">
        <v>61</v>
      </c>
      <c r="W4" s="34" t="s">
        <v>62</v>
      </c>
      <c r="X4" s="34" t="s">
        <v>63</v>
      </c>
      <c r="Y4" s="34" t="s">
        <v>64</v>
      </c>
      <c r="Z4" s="34" t="s">
        <v>65</v>
      </c>
      <c r="AA4" s="34" t="s">
        <v>66</v>
      </c>
      <c r="AB4" s="34" t="s">
        <v>67</v>
      </c>
      <c r="AC4" s="34" t="s">
        <v>209</v>
      </c>
      <c r="AD4" s="34" t="s">
        <v>211</v>
      </c>
    </row>
    <row r="5" spans="1:30" ht="16.5" customHeight="1">
      <c r="A5" s="25" t="s">
        <v>35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0" ht="6.6" customHeigh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16" customFormat="1">
      <c r="A7" s="114" t="s">
        <v>36</v>
      </c>
      <c r="B7" s="149">
        <v>746.25855288918945</v>
      </c>
      <c r="C7" s="149">
        <v>795.8915903126483</v>
      </c>
      <c r="D7" s="149">
        <v>851.96956651242522</v>
      </c>
      <c r="E7" s="149">
        <v>1122.9935576523344</v>
      </c>
      <c r="F7" s="115">
        <v>545.6</v>
      </c>
      <c r="G7" s="115">
        <v>68.8</v>
      </c>
      <c r="H7" s="115">
        <v>168</v>
      </c>
      <c r="I7" s="115">
        <v>951.9</v>
      </c>
      <c r="J7" s="115">
        <v>125.3</v>
      </c>
      <c r="K7" s="115">
        <v>210.7</v>
      </c>
      <c r="L7" s="115">
        <v>360.9</v>
      </c>
      <c r="M7" s="115">
        <v>814.7</v>
      </c>
      <c r="N7" s="115">
        <v>643.5</v>
      </c>
      <c r="O7" s="115">
        <v>889.4</v>
      </c>
      <c r="P7" s="115">
        <v>1182.4000000000001</v>
      </c>
      <c r="Q7" s="115">
        <v>952.5</v>
      </c>
      <c r="R7" s="115">
        <v>1073.2</v>
      </c>
      <c r="S7" s="115">
        <v>1084.3738818815409</v>
      </c>
      <c r="T7" s="115">
        <v>1000.4565745070802</v>
      </c>
      <c r="U7" s="115">
        <v>1147.5241632453271</v>
      </c>
      <c r="V7" s="115">
        <v>530.58220731306972</v>
      </c>
      <c r="W7" s="115">
        <v>673.13437836529499</v>
      </c>
      <c r="X7" s="115">
        <v>775.97769059269399</v>
      </c>
      <c r="Y7" s="115">
        <v>943.24905117779304</v>
      </c>
      <c r="Z7" s="115">
        <v>1071.4226364314575</v>
      </c>
      <c r="AA7" s="115">
        <v>924.45202860962297</v>
      </c>
      <c r="AB7" s="115">
        <v>923.36397576777938</v>
      </c>
      <c r="AC7" s="115">
        <v>843.99202235794212</v>
      </c>
      <c r="AD7" s="115">
        <v>981.41236921176312</v>
      </c>
    </row>
    <row r="8" spans="1:30">
      <c r="A8" s="97" t="s">
        <v>37</v>
      </c>
      <c r="B8" s="113">
        <v>746.25855288918945</v>
      </c>
      <c r="C8" s="113">
        <v>795.8915903126483</v>
      </c>
      <c r="D8" s="113">
        <v>851.96956651242522</v>
      </c>
      <c r="E8" s="113">
        <v>1122.9935576523344</v>
      </c>
      <c r="F8" s="113">
        <v>607.4</v>
      </c>
      <c r="G8" s="113">
        <v>24.7</v>
      </c>
      <c r="H8" s="113">
        <v>84.5</v>
      </c>
      <c r="I8" s="113">
        <v>218.8</v>
      </c>
      <c r="J8" s="113">
        <v>125.3</v>
      </c>
      <c r="K8" s="113">
        <v>210.7</v>
      </c>
      <c r="L8" s="113">
        <v>360.9</v>
      </c>
      <c r="M8" s="113">
        <v>814.7</v>
      </c>
      <c r="N8" s="113">
        <v>643.5</v>
      </c>
      <c r="O8" s="113">
        <v>889.4</v>
      </c>
      <c r="P8" s="113">
        <v>1182.4000000000001</v>
      </c>
      <c r="Q8" s="113">
        <v>952.5</v>
      </c>
      <c r="R8" s="113">
        <v>1140.5999999999999</v>
      </c>
      <c r="S8" s="113">
        <v>1066.4962809628619</v>
      </c>
      <c r="T8" s="113">
        <v>979.12592056854407</v>
      </c>
      <c r="U8" s="113">
        <v>1064.959220771342</v>
      </c>
      <c r="V8" s="113">
        <v>694.24777482071397</v>
      </c>
      <c r="W8" s="113">
        <v>674.84949396726108</v>
      </c>
      <c r="X8" s="113">
        <v>765.58744591101993</v>
      </c>
      <c r="Y8" s="113">
        <v>877.80483212986007</v>
      </c>
      <c r="Z8" s="113">
        <v>1146.1572709746861</v>
      </c>
      <c r="AA8" s="113">
        <v>913.04454638660104</v>
      </c>
      <c r="AB8" s="113">
        <v>916.52937895334173</v>
      </c>
      <c r="AC8" s="113">
        <v>802.02828448120238</v>
      </c>
      <c r="AD8" s="113">
        <v>1041.6890973008535</v>
      </c>
    </row>
    <row r="9" spans="1:30">
      <c r="A9" s="96" t="s">
        <v>18</v>
      </c>
      <c r="B9" s="120">
        <v>2.3435577297292176E-2</v>
      </c>
      <c r="C9" s="120">
        <v>3.4661755866980656E-2</v>
      </c>
      <c r="D9" s="120">
        <v>0</v>
      </c>
      <c r="E9" s="120">
        <v>7.2794733079515714E-2</v>
      </c>
      <c r="F9" s="120">
        <v>8.2000000000000003E-2</v>
      </c>
      <c r="G9" s="120">
        <v>-0.06</v>
      </c>
      <c r="H9" s="120">
        <v>0.06</v>
      </c>
      <c r="I9" s="120">
        <v>9.7000000000000003E-2</v>
      </c>
      <c r="J9" s="120">
        <v>0.13</v>
      </c>
      <c r="K9" s="120">
        <v>0.12</v>
      </c>
      <c r="L9" s="120">
        <v>7.0999999999999994E-2</v>
      </c>
      <c r="M9" s="120">
        <v>6.4000000000000001E-2</v>
      </c>
      <c r="N9" s="120">
        <v>8.1000000000000003E-2</v>
      </c>
      <c r="O9" s="120">
        <v>6.6000000000000003E-2</v>
      </c>
      <c r="P9" s="120">
        <v>7.1999999999999995E-2</v>
      </c>
      <c r="Q9" s="120">
        <v>6.9000000000000006E-2</v>
      </c>
      <c r="R9" s="120">
        <v>6.5000000000000002E-2</v>
      </c>
      <c r="S9" s="120">
        <v>6.4499115783136801E-2</v>
      </c>
      <c r="T9" s="120">
        <v>7.1338608326349695E-2</v>
      </c>
      <c r="U9" s="120">
        <v>7.6985447075609059E-2</v>
      </c>
      <c r="V9" s="120">
        <v>8.6326899809620855E-2</v>
      </c>
      <c r="W9" s="120">
        <v>7.6093410786803095E-2</v>
      </c>
      <c r="X9" s="120">
        <v>7.1047915981148221E-2</v>
      </c>
      <c r="Y9" s="120">
        <v>6.482510163274445E-2</v>
      </c>
      <c r="Z9" s="120">
        <v>7.0695046732048961E-2</v>
      </c>
      <c r="AA9" s="120">
        <v>6.6117934697882422E-2</v>
      </c>
      <c r="AB9" s="120">
        <v>6.3296247936116906E-2</v>
      </c>
      <c r="AC9" s="120">
        <v>5.7112518739239802E-2</v>
      </c>
      <c r="AD9" s="120">
        <v>6.4213706695846279E-2</v>
      </c>
    </row>
    <row r="10" spans="1:30" ht="16.5">
      <c r="A10" s="111"/>
      <c r="B10" s="111"/>
      <c r="C10" s="111"/>
      <c r="D10" s="111"/>
      <c r="E10" s="111"/>
    </row>
    <row r="13" spans="1:30" ht="4.5" customHeight="1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</row>
    <row r="14" spans="1:30" ht="16.5">
      <c r="A14" s="96"/>
      <c r="B14" s="124"/>
      <c r="C14" s="124"/>
      <c r="D14" s="124"/>
      <c r="E14" s="124"/>
      <c r="F14" s="106"/>
      <c r="G14" s="106"/>
      <c r="H14" s="106"/>
      <c r="I14" s="106"/>
      <c r="J14" s="106"/>
      <c r="K14" s="106"/>
      <c r="L14" s="106"/>
      <c r="M14" s="106"/>
      <c r="N14" s="106"/>
      <c r="O14" s="106"/>
    </row>
    <row r="15" spans="1:30">
      <c r="A15" s="96"/>
      <c r="B15" s="96"/>
      <c r="C15" s="96"/>
      <c r="D15" s="96"/>
      <c r="E15" s="96"/>
      <c r="F15" s="118"/>
      <c r="G15" s="118"/>
      <c r="H15" s="118"/>
      <c r="I15" s="118"/>
      <c r="J15" s="118"/>
      <c r="K15" s="118"/>
      <c r="L15" s="118"/>
      <c r="M15" s="118"/>
      <c r="N15" s="118"/>
      <c r="O15" s="118"/>
    </row>
    <row r="16" spans="1:30">
      <c r="A16" s="96"/>
      <c r="B16" s="96"/>
      <c r="C16" s="96"/>
      <c r="D16" s="96"/>
      <c r="E16" s="96"/>
      <c r="F16" s="118"/>
      <c r="G16" s="118"/>
      <c r="H16" s="118"/>
      <c r="I16" s="118"/>
      <c r="J16" s="118"/>
      <c r="K16" s="118"/>
      <c r="L16" s="118"/>
      <c r="M16" s="118"/>
      <c r="N16" s="118"/>
      <c r="O16" s="118"/>
    </row>
    <row r="17" spans="1:15" ht="16.5">
      <c r="A17" s="119"/>
      <c r="B17" s="121"/>
      <c r="C17" s="121"/>
      <c r="D17" s="121"/>
      <c r="E17" s="121"/>
      <c r="F17" s="130"/>
      <c r="G17" s="106"/>
      <c r="H17" s="106"/>
      <c r="I17" s="106"/>
      <c r="J17" s="130"/>
      <c r="K17" s="130"/>
      <c r="L17" s="106"/>
      <c r="M17" s="106"/>
      <c r="N17" s="106"/>
      <c r="O17" s="106"/>
    </row>
  </sheetData>
  <mergeCells count="1">
    <mergeCell ref="A1:A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D129"/>
  <sheetViews>
    <sheetView showGridLines="0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58.125" customWidth="1"/>
    <col min="2" max="5" width="12.7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0" ht="17.25">
      <c r="A1" s="179"/>
      <c r="B1" s="159"/>
      <c r="C1" s="159"/>
      <c r="D1" s="159"/>
      <c r="E1" s="159"/>
    </row>
    <row r="2" spans="1:30" ht="17.25">
      <c r="A2" s="179"/>
      <c r="B2" s="159"/>
      <c r="C2" s="159"/>
      <c r="D2" s="159"/>
      <c r="E2" s="159"/>
    </row>
    <row r="3" spans="1:3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ht="16.5" customHeight="1">
      <c r="A4" s="29" t="s">
        <v>204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57</v>
      </c>
      <c r="S4" s="34" t="s">
        <v>58</v>
      </c>
      <c r="T4" s="34" t="s">
        <v>59</v>
      </c>
      <c r="U4" s="34" t="s">
        <v>60</v>
      </c>
      <c r="V4" s="34" t="s">
        <v>61</v>
      </c>
      <c r="W4" s="34" t="s">
        <v>62</v>
      </c>
      <c r="X4" s="34" t="s">
        <v>63</v>
      </c>
      <c r="Y4" s="34" t="s">
        <v>64</v>
      </c>
      <c r="Z4" s="34" t="s">
        <v>65</v>
      </c>
      <c r="AA4" s="34" t="s">
        <v>66</v>
      </c>
      <c r="AB4" s="34" t="s">
        <v>67</v>
      </c>
      <c r="AC4" s="34" t="s">
        <v>209</v>
      </c>
      <c r="AD4" s="34" t="s">
        <v>212</v>
      </c>
    </row>
    <row r="5" spans="1:30" ht="16.5" customHeight="1">
      <c r="A5" s="25" t="s">
        <v>35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0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 ht="15" thickBot="1">
      <c r="A7" s="14" t="s">
        <v>73</v>
      </c>
      <c r="B7" s="20">
        <v>17.489000000000001</v>
      </c>
      <c r="C7" s="20">
        <v>27.587</v>
      </c>
      <c r="D7" s="149"/>
      <c r="E7" s="149">
        <v>81.748016279317426</v>
      </c>
      <c r="F7" s="20">
        <v>49.8</v>
      </c>
      <c r="G7" s="20">
        <v>-1.5</v>
      </c>
      <c r="H7" s="20">
        <v>5.0999999999999996</v>
      </c>
      <c r="I7" s="20">
        <v>21.2</v>
      </c>
      <c r="J7" s="20">
        <v>16.2</v>
      </c>
      <c r="K7" s="20">
        <v>25.3</v>
      </c>
      <c r="L7" s="20">
        <v>25.6</v>
      </c>
      <c r="M7" s="20">
        <v>51.9</v>
      </c>
      <c r="N7" s="20">
        <v>52.1</v>
      </c>
      <c r="O7" s="20">
        <v>58.5</v>
      </c>
      <c r="P7" s="20">
        <v>85.1</v>
      </c>
      <c r="Q7" s="20">
        <v>65.7</v>
      </c>
      <c r="R7" s="20">
        <v>74.2</v>
      </c>
      <c r="S7" s="20">
        <v>68.789000000000001</v>
      </c>
      <c r="T7" s="20">
        <v>69.84902033257552</v>
      </c>
      <c r="U7" s="20">
        <v>82</v>
      </c>
      <c r="V7" s="20">
        <v>59.932258099999999</v>
      </c>
      <c r="W7" s="20">
        <v>51.35159976371699</v>
      </c>
      <c r="X7" s="20">
        <f>54393392.5333079*10^-6</f>
        <v>54.393392533307903</v>
      </c>
      <c r="Y7" s="20">
        <v>56.903787456532299</v>
      </c>
      <c r="Z7" s="20">
        <v>81.028000000000006</v>
      </c>
      <c r="AA7" s="20">
        <v>60.367999999999981</v>
      </c>
      <c r="AB7" s="20">
        <v>58.012870810965964</v>
      </c>
      <c r="AC7" s="20">
        <v>45.80585542683302</v>
      </c>
      <c r="AD7" s="20">
        <v>66.890718162337876</v>
      </c>
    </row>
    <row r="8" spans="1:30" s="117" customFormat="1" ht="9" customHeight="1">
      <c r="A8" s="153"/>
      <c r="B8" s="156"/>
      <c r="C8" s="156"/>
      <c r="D8" s="156"/>
      <c r="E8" s="156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</row>
    <row r="9" spans="1:30" s="13" customFormat="1">
      <c r="A9" s="163" t="s">
        <v>74</v>
      </c>
      <c r="B9" s="163"/>
      <c r="C9" s="163"/>
      <c r="D9" s="163"/>
      <c r="E9" s="163"/>
      <c r="F9" s="164"/>
      <c r="G9" s="164"/>
      <c r="H9" s="164"/>
      <c r="I9" s="164"/>
      <c r="J9" s="164"/>
      <c r="K9" s="164"/>
      <c r="L9" s="164"/>
      <c r="M9" s="164"/>
      <c r="N9" s="164">
        <f>SUM(N10:N11,N14:N15)</f>
        <v>-67.600000000000009</v>
      </c>
      <c r="O9" s="164">
        <f t="shared" ref="O9:X9" si="0">SUM(O10:O11,O14:O15)</f>
        <v>-58.7</v>
      </c>
      <c r="P9" s="164">
        <f t="shared" si="0"/>
        <v>-56.5</v>
      </c>
      <c r="Q9" s="164">
        <f t="shared" si="0"/>
        <v>-56.199999999999989</v>
      </c>
      <c r="R9" s="164">
        <f t="shared" si="0"/>
        <v>-60.100000000000009</v>
      </c>
      <c r="S9" s="164">
        <f t="shared" si="0"/>
        <v>-61.425790000000006</v>
      </c>
      <c r="T9" s="164">
        <f t="shared" si="0"/>
        <v>-60.793672214338194</v>
      </c>
      <c r="U9" s="164">
        <f t="shared" si="0"/>
        <v>-101.28563670701979</v>
      </c>
      <c r="V9" s="164">
        <f t="shared" si="0"/>
        <v>-46.906944611179028</v>
      </c>
      <c r="W9" s="164">
        <f t="shared" si="0"/>
        <v>-57.725442052016049</v>
      </c>
      <c r="X9" s="164">
        <f t="shared" si="0"/>
        <v>-58.7672879982008</v>
      </c>
      <c r="Y9" s="164">
        <f t="shared" ref="Y9:AA9" si="1">SUM(Y10:Y11,Y14:Y15)</f>
        <v>-64.159292234617425</v>
      </c>
      <c r="Z9" s="164">
        <f t="shared" si="1"/>
        <v>-63.824896566281296</v>
      </c>
      <c r="AA9" s="164">
        <f t="shared" si="1"/>
        <v>-72.977103433718696</v>
      </c>
      <c r="AB9" s="164">
        <f t="shared" ref="AB9" si="2">SUM(AB10:AB11,AB14:AB15)</f>
        <v>-54.235229517119606</v>
      </c>
      <c r="AC9" s="164">
        <f>SUM(AC10:AC11,AC14:AC15)</f>
        <v>12.93351880611938</v>
      </c>
      <c r="AD9" s="164">
        <f>SUM(AD10:AD11,AD14:AD15)</f>
        <v>-56.30784901748325</v>
      </c>
    </row>
    <row r="10" spans="1:30" s="13" customFormat="1" ht="15" thickBot="1">
      <c r="A10" s="160" t="s">
        <v>39</v>
      </c>
      <c r="B10" s="21">
        <v>-1.9430000000000001</v>
      </c>
      <c r="C10" s="21">
        <v>-5.2129999999999992</v>
      </c>
      <c r="D10" s="16"/>
      <c r="E10" s="16"/>
      <c r="F10" s="21">
        <v>-22.9</v>
      </c>
      <c r="G10" s="21">
        <v>0.89999999999999991</v>
      </c>
      <c r="H10" s="21">
        <v>-3.3000000000000003</v>
      </c>
      <c r="I10" s="21">
        <v>-6.5</v>
      </c>
      <c r="J10" s="21">
        <v>-9.5</v>
      </c>
      <c r="K10" s="21">
        <v>-14.5</v>
      </c>
      <c r="L10" s="21">
        <v>-11.5</v>
      </c>
      <c r="M10" s="21">
        <v>-21.599999999999998</v>
      </c>
      <c r="N10" s="21">
        <v>-15.7</v>
      </c>
      <c r="O10" s="21">
        <v>-12.700000000000001</v>
      </c>
      <c r="P10" s="21">
        <v>-12.8</v>
      </c>
      <c r="Q10" s="21">
        <v>-16.399999999999999</v>
      </c>
      <c r="R10" s="21">
        <v>-14.9</v>
      </c>
      <c r="S10" s="21">
        <v>-17.922000000000001</v>
      </c>
      <c r="T10" s="21">
        <v>-18.00190396310645</v>
      </c>
      <c r="U10" s="21">
        <v>-18.236598088866</v>
      </c>
      <c r="V10" s="21">
        <v>-6.3877673120479992</v>
      </c>
      <c r="W10" s="21">
        <v>-4.1955404505370097</v>
      </c>
      <c r="X10" s="21">
        <f>-10016338.3664799*10^-6</f>
        <v>-10.0163383664799</v>
      </c>
      <c r="Y10" s="21">
        <v>-10.747714839353698</v>
      </c>
      <c r="Z10" s="21">
        <v>-11.066896566281306</v>
      </c>
      <c r="AA10" s="21">
        <v>-10.349103433718694</v>
      </c>
      <c r="AB10" s="21">
        <v>-7.2296578591670002</v>
      </c>
      <c r="AC10" s="21">
        <v>-3.6197599549960002</v>
      </c>
      <c r="AD10" s="21">
        <v>-9.3762923087818031</v>
      </c>
    </row>
    <row r="11" spans="1:30" ht="15" thickBot="1">
      <c r="A11" s="161" t="s">
        <v>38</v>
      </c>
      <c r="B11" s="21">
        <v>-24.195</v>
      </c>
      <c r="C11" s="21">
        <v>-24.069000000000003</v>
      </c>
      <c r="D11" s="147"/>
      <c r="E11" s="147"/>
      <c r="F11" s="21">
        <v>-68.2</v>
      </c>
      <c r="G11" s="21">
        <v>-39</v>
      </c>
      <c r="H11" s="21">
        <v>-64.400000000000006</v>
      </c>
      <c r="I11" s="21">
        <v>-34.700000000000003</v>
      </c>
      <c r="J11" s="21">
        <v>-54.6</v>
      </c>
      <c r="K11" s="21">
        <v>-29.7</v>
      </c>
      <c r="L11" s="21">
        <v>-43.4</v>
      </c>
      <c r="M11" s="21">
        <v>-52.9</v>
      </c>
      <c r="N11" s="21">
        <v>-56</v>
      </c>
      <c r="O11" s="21">
        <v>-52.5</v>
      </c>
      <c r="P11" s="21">
        <v>-49.4</v>
      </c>
      <c r="Q11" s="21">
        <v>-76.3</v>
      </c>
      <c r="R11" s="21">
        <v>-57.5</v>
      </c>
      <c r="S11" s="21">
        <v>-46.131999999999998</v>
      </c>
      <c r="T11" s="21">
        <v>-50.692524774903383</v>
      </c>
      <c r="U11" s="21">
        <v>-33.649038618153781</v>
      </c>
      <c r="V11" s="21">
        <f>V12+V13</f>
        <v>-40.165254072143028</v>
      </c>
      <c r="W11" s="21">
        <v>-56.022180651611194</v>
      </c>
      <c r="X11" s="21">
        <f>SUM(X12:X13)</f>
        <v>-50.050850333618818</v>
      </c>
      <c r="Y11" s="21">
        <f>SUM(Y12:Y13)</f>
        <v>-52.908250639016693</v>
      </c>
      <c r="Z11" s="21">
        <f>SUM(Z12:Z13)</f>
        <v>-53.853999999999999</v>
      </c>
      <c r="AA11" s="21">
        <f>SUM(AA12:AA13)</f>
        <v>-51.695999999999998</v>
      </c>
      <c r="AB11" s="21">
        <f>SUM(AB12:AB13)</f>
        <v>-44.982571657952604</v>
      </c>
      <c r="AC11" s="21">
        <f t="shared" ref="AC11:AD11" si="3">SUM(AC12:AC13)</f>
        <v>-61.429168272481597</v>
      </c>
      <c r="AD11" s="21">
        <f t="shared" si="3"/>
        <v>-50.989277405707448</v>
      </c>
    </row>
    <row r="12" spans="1:30">
      <c r="A12" s="162" t="s">
        <v>38</v>
      </c>
      <c r="B12" s="22">
        <v>-21.334</v>
      </c>
      <c r="C12" s="22">
        <v>-21.260999999999999</v>
      </c>
      <c r="D12" s="17"/>
      <c r="E12" s="17"/>
      <c r="F12" s="22">
        <v>-50.2</v>
      </c>
      <c r="G12" s="22">
        <v>-18.100000000000001</v>
      </c>
      <c r="H12" s="22">
        <v>-21.5</v>
      </c>
      <c r="I12" s="22">
        <v>-51.8</v>
      </c>
      <c r="J12" s="22">
        <v>-35.1</v>
      </c>
      <c r="K12" s="22">
        <v>-10</v>
      </c>
      <c r="L12" s="22">
        <v>-24.3</v>
      </c>
      <c r="M12" s="22">
        <v>-27.6</v>
      </c>
      <c r="N12" s="22">
        <v>-40.9</v>
      </c>
      <c r="O12" s="22">
        <v>-37.9</v>
      </c>
      <c r="P12" s="22">
        <v>-33.9</v>
      </c>
      <c r="Q12" s="22">
        <v>-60.5</v>
      </c>
      <c r="R12" s="21">
        <v>-43.9</v>
      </c>
      <c r="S12" s="21">
        <v>-32.658999999999999</v>
      </c>
      <c r="T12" s="21">
        <v>-37.239370278679012</v>
      </c>
      <c r="U12" s="21">
        <v>-29.144342213755763</v>
      </c>
      <c r="V12" s="21">
        <v>-32.591374133617315</v>
      </c>
      <c r="W12" s="21">
        <v>-47.647078850597381</v>
      </c>
      <c r="X12" s="21">
        <f>-40533616.193748/10^6</f>
        <v>-40.533616193747996</v>
      </c>
      <c r="Y12" s="21">
        <v>-46.349263707654792</v>
      </c>
      <c r="Z12" s="21">
        <v>-45.562559354647696</v>
      </c>
      <c r="AA12" s="21">
        <v>-43.9</v>
      </c>
      <c r="AB12" s="21">
        <v>-38.774446048058422</v>
      </c>
      <c r="AC12" s="21">
        <v>-47.672589624253689</v>
      </c>
      <c r="AD12" s="21">
        <v>-43.430865052931622</v>
      </c>
    </row>
    <row r="13" spans="1:30" ht="15" thickBot="1">
      <c r="A13" s="162" t="s">
        <v>75</v>
      </c>
      <c r="B13" s="22">
        <v>-2.8610000000000002</v>
      </c>
      <c r="C13" s="22">
        <v>-2.8079999999999994</v>
      </c>
      <c r="D13" s="17"/>
      <c r="E13" s="17"/>
      <c r="F13" s="22">
        <v>-18</v>
      </c>
      <c r="G13" s="22">
        <v>-20.9</v>
      </c>
      <c r="H13" s="22">
        <v>-42.8</v>
      </c>
      <c r="I13" s="22">
        <v>17.100000000000001</v>
      </c>
      <c r="J13" s="22">
        <v>-19.5</v>
      </c>
      <c r="K13" s="22">
        <v>-19.7</v>
      </c>
      <c r="L13" s="22">
        <v>-19.100000000000001</v>
      </c>
      <c r="M13" s="22">
        <v>-25.3</v>
      </c>
      <c r="N13" s="22">
        <v>-15.1</v>
      </c>
      <c r="O13" s="22">
        <v>-14.6</v>
      </c>
      <c r="P13" s="22">
        <v>-15.5</v>
      </c>
      <c r="Q13" s="22">
        <v>-15.8</v>
      </c>
      <c r="R13" s="21">
        <v>-13.6</v>
      </c>
      <c r="S13" s="21">
        <v>-13.473000000000001</v>
      </c>
      <c r="T13" s="21">
        <v>-13.453154496224371</v>
      </c>
      <c r="U13" s="21">
        <v>-4.5046964043980164</v>
      </c>
      <c r="V13" s="21">
        <v>-7.5738799385257174</v>
      </c>
      <c r="W13" s="21">
        <f>-8371903.90055786*10^-6</f>
        <v>-8.371903900557859</v>
      </c>
      <c r="X13" s="21">
        <f>-9517234.13987082/10^6</f>
        <v>-9.5172341398708209</v>
      </c>
      <c r="Y13" s="21">
        <v>-6.5589869313618996</v>
      </c>
      <c r="Z13" s="21">
        <v>-8.2914406453523029</v>
      </c>
      <c r="AA13" s="21">
        <v>-7.7959999999999994</v>
      </c>
      <c r="AB13" s="21">
        <v>-6.2081256098941822</v>
      </c>
      <c r="AC13" s="21">
        <v>-13.756578648227908</v>
      </c>
      <c r="AD13" s="21">
        <v>-7.5584123527758278</v>
      </c>
    </row>
    <row r="14" spans="1:30" ht="15" thickBot="1">
      <c r="A14" s="161" t="s">
        <v>76</v>
      </c>
      <c r="B14" s="22">
        <v>0</v>
      </c>
      <c r="C14" s="22">
        <v>-2.9750000000000001</v>
      </c>
      <c r="D14" s="147"/>
      <c r="E14" s="147"/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-0.36419468440586866</v>
      </c>
      <c r="X14" s="21">
        <f>-167711.160622082*10^-6</f>
        <v>-0.167711160622082</v>
      </c>
      <c r="Y14" s="21">
        <f>1457322.81228319*10^-6</f>
        <v>1.4573228122831898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</row>
    <row r="15" spans="1:30" ht="15" thickBot="1">
      <c r="A15" s="161" t="s">
        <v>187</v>
      </c>
      <c r="B15" s="22">
        <v>0.88600000000000001</v>
      </c>
      <c r="C15" s="22">
        <v>-0.56699999999999995</v>
      </c>
      <c r="D15" s="147"/>
      <c r="E15" s="147"/>
      <c r="F15" s="22">
        <v>-419.9</v>
      </c>
      <c r="G15" s="22">
        <v>-4.2</v>
      </c>
      <c r="H15" s="22">
        <v>2.8</v>
      </c>
      <c r="I15" s="22">
        <v>7.1999999999999993</v>
      </c>
      <c r="J15" s="22">
        <v>3.0999999999999996</v>
      </c>
      <c r="K15" s="22">
        <v>0.6</v>
      </c>
      <c r="L15" s="22">
        <v>0.7</v>
      </c>
      <c r="M15" s="22">
        <v>3.8</v>
      </c>
      <c r="N15" s="22">
        <v>4.0999999999999996</v>
      </c>
      <c r="O15" s="22">
        <v>6.5</v>
      </c>
      <c r="P15" s="22">
        <v>5.6999999999999993</v>
      </c>
      <c r="Q15" s="22">
        <v>36.5</v>
      </c>
      <c r="R15" s="22">
        <v>12.3</v>
      </c>
      <c r="S15" s="22">
        <v>2.6282099999999993</v>
      </c>
      <c r="T15" s="22">
        <v>7.9007565236716362</v>
      </c>
      <c r="U15" s="22">
        <v>-49.4</v>
      </c>
      <c r="V15" s="22">
        <v>-0.35392322698800055</v>
      </c>
      <c r="W15" s="22">
        <v>2.8564737345380227</v>
      </c>
      <c r="X15" s="22">
        <f>1467611.86252*10^-6</f>
        <v>1.4676118625199999</v>
      </c>
      <c r="Y15" s="22">
        <v>-1.9606495685302199</v>
      </c>
      <c r="Z15" s="22">
        <v>1.0960000000000001</v>
      </c>
      <c r="AA15" s="22">
        <v>-10.932</v>
      </c>
      <c r="AB15" s="22">
        <v>-2.0229999999999997</v>
      </c>
      <c r="AC15" s="22">
        <v>77.982447033596983</v>
      </c>
      <c r="AD15" s="22">
        <v>4.0577206970060029</v>
      </c>
    </row>
    <row r="16" spans="1:30" ht="15" thickBot="1">
      <c r="A16" s="14" t="s">
        <v>78</v>
      </c>
      <c r="B16" s="20">
        <v>-7.7629999999999999</v>
      </c>
      <c r="C16" s="20">
        <v>-5.2370000000000001</v>
      </c>
      <c r="D16" s="146"/>
      <c r="E16" s="146"/>
      <c r="F16" s="20">
        <v>-461.2</v>
      </c>
      <c r="G16" s="20">
        <v>-43.8</v>
      </c>
      <c r="H16" s="20">
        <v>-59.9</v>
      </c>
      <c r="I16" s="20">
        <v>-12.9</v>
      </c>
      <c r="J16" s="20">
        <v>-44.8</v>
      </c>
      <c r="K16" s="20">
        <v>-18.100000000000001</v>
      </c>
      <c r="L16" s="20">
        <v>-28.6</v>
      </c>
      <c r="M16" s="20">
        <v>-18.8</v>
      </c>
      <c r="N16" s="20">
        <f>SUM(N7,N9)</f>
        <v>-15.500000000000007</v>
      </c>
      <c r="O16" s="20">
        <f t="shared" ref="O16:X16" si="4">SUM(O7,O9)</f>
        <v>-0.20000000000000284</v>
      </c>
      <c r="P16" s="20">
        <f t="shared" si="4"/>
        <v>28.599999999999994</v>
      </c>
      <c r="Q16" s="20">
        <f t="shared" si="4"/>
        <v>9.5000000000000142</v>
      </c>
      <c r="R16" s="20">
        <f t="shared" si="4"/>
        <v>14.099999999999994</v>
      </c>
      <c r="S16" s="20">
        <f t="shared" si="4"/>
        <v>7.3632099999999951</v>
      </c>
      <c r="T16" s="20">
        <f t="shared" si="4"/>
        <v>9.0553481182373261</v>
      </c>
      <c r="U16" s="20">
        <f t="shared" si="4"/>
        <v>-19.28563670701979</v>
      </c>
      <c r="V16" s="20">
        <f t="shared" si="4"/>
        <v>13.02531348882097</v>
      </c>
      <c r="W16" s="20">
        <f t="shared" si="4"/>
        <v>-6.3738422882990591</v>
      </c>
      <c r="X16" s="20">
        <f t="shared" si="4"/>
        <v>-4.3738954648928967</v>
      </c>
      <c r="Y16" s="20">
        <f t="shared" ref="Y16:AA16" si="5">SUM(Y7,Y9)</f>
        <v>-7.2555047780851254</v>
      </c>
      <c r="Z16" s="20">
        <f t="shared" si="5"/>
        <v>17.203103433718709</v>
      </c>
      <c r="AA16" s="20">
        <f t="shared" si="5"/>
        <v>-12.609103433718715</v>
      </c>
      <c r="AB16" s="20">
        <f t="shared" ref="AB16" si="6">SUM(AB7,AB9)</f>
        <v>3.7776412938463579</v>
      </c>
      <c r="AC16" s="20">
        <f>SUM(AC7,AC9)</f>
        <v>58.7393742329524</v>
      </c>
      <c r="AD16" s="20">
        <f>SUM(AD7,AD9)</f>
        <v>10.582869144854627</v>
      </c>
    </row>
    <row r="17" spans="1:30" ht="15" thickBot="1">
      <c r="A17" s="17" t="s">
        <v>79</v>
      </c>
      <c r="B17" s="22">
        <v>5.1520000000000001</v>
      </c>
      <c r="C17" s="22">
        <v>1.0990000000000002</v>
      </c>
      <c r="D17" s="18"/>
      <c r="E17" s="18"/>
      <c r="F17" s="22">
        <v>-9</v>
      </c>
      <c r="G17" s="22">
        <v>11.7</v>
      </c>
      <c r="H17" s="22">
        <v>-2.6</v>
      </c>
      <c r="I17" s="22">
        <v>0.9</v>
      </c>
      <c r="J17" s="22">
        <v>3.2</v>
      </c>
      <c r="K17" s="22">
        <v>0.8</v>
      </c>
      <c r="L17" s="22">
        <v>6.9</v>
      </c>
      <c r="M17" s="22">
        <v>16.600000000000001</v>
      </c>
      <c r="N17" s="22">
        <v>-3.4</v>
      </c>
      <c r="O17" s="22">
        <v>-2.7</v>
      </c>
      <c r="P17" s="22">
        <v>-10.199999999999999</v>
      </c>
      <c r="Q17" s="22">
        <v>-0.8</v>
      </c>
      <c r="R17" s="21">
        <v>-8.3000000000000007</v>
      </c>
      <c r="S17" s="21">
        <v>-14.586</v>
      </c>
      <c r="T17" s="21">
        <v>14.094193948727993</v>
      </c>
      <c r="U17" s="21">
        <v>-5.2083470710716027</v>
      </c>
      <c r="V17" s="21">
        <v>-3.4190515015099527</v>
      </c>
      <c r="W17" s="21">
        <f>Corp_SI!W16-BR_IS!W17</f>
        <v>12.177013018688413</v>
      </c>
      <c r="X17" s="21">
        <f>(24820284.78783+-8106820.98228401+486941.691509962)/10^6</f>
        <v>17.20040549705595</v>
      </c>
      <c r="Y17" s="21">
        <v>-8.9933613442737084</v>
      </c>
      <c r="Z17" s="21">
        <v>31.26</v>
      </c>
      <c r="AA17" s="21">
        <v>2.710999999999995</v>
      </c>
      <c r="AB17" s="21">
        <v>-29.762999999999998</v>
      </c>
      <c r="AC17" s="21">
        <v>-7.2443734087357718</v>
      </c>
      <c r="AD17" s="21">
        <v>3.1682241438820888</v>
      </c>
    </row>
    <row r="18" spans="1:30" s="13" customFormat="1" ht="15" thickBot="1">
      <c r="A18" s="14" t="s">
        <v>80</v>
      </c>
      <c r="B18" s="20">
        <v>-2.6110000000000002</v>
      </c>
      <c r="C18" s="20">
        <v>-4.1379999999999999</v>
      </c>
      <c r="D18" s="146"/>
      <c r="E18" s="146"/>
      <c r="F18" s="20">
        <v>-469.7</v>
      </c>
      <c r="G18" s="20">
        <v>-32.6</v>
      </c>
      <c r="H18" s="20">
        <v>-62.5</v>
      </c>
      <c r="I18" s="20">
        <v>-11.9</v>
      </c>
      <c r="J18" s="20">
        <v>-41.5</v>
      </c>
      <c r="K18" s="20">
        <v>-17.3</v>
      </c>
      <c r="L18" s="20">
        <v>-21.7</v>
      </c>
      <c r="M18" s="20">
        <v>-2.1</v>
      </c>
      <c r="N18" s="20">
        <f>SUM(N16:N17)</f>
        <v>-18.900000000000006</v>
      </c>
      <c r="O18" s="20">
        <f t="shared" ref="O18:X18" si="7">SUM(O16:O17)</f>
        <v>-2.900000000000003</v>
      </c>
      <c r="P18" s="20">
        <f t="shared" si="7"/>
        <v>18.399999999999995</v>
      </c>
      <c r="Q18" s="20">
        <f t="shared" si="7"/>
        <v>8.7000000000000135</v>
      </c>
      <c r="R18" s="20">
        <f t="shared" si="7"/>
        <v>5.7999999999999936</v>
      </c>
      <c r="S18" s="20">
        <f t="shared" si="7"/>
        <v>-7.2227900000000052</v>
      </c>
      <c r="T18" s="20">
        <f t="shared" si="7"/>
        <v>23.149542066965317</v>
      </c>
      <c r="U18" s="20">
        <f t="shared" si="7"/>
        <v>-24.493983778091394</v>
      </c>
      <c r="V18" s="20">
        <f t="shared" si="7"/>
        <v>9.6062619873110169</v>
      </c>
      <c r="W18" s="20">
        <f t="shared" si="7"/>
        <v>5.803170730389354</v>
      </c>
      <c r="X18" s="20">
        <f t="shared" si="7"/>
        <v>12.826510032163053</v>
      </c>
      <c r="Y18" s="20">
        <f t="shared" ref="Y18:AA18" si="8">SUM(Y16:Y17)</f>
        <v>-16.248866122358834</v>
      </c>
      <c r="Z18" s="20">
        <f t="shared" si="8"/>
        <v>48.463103433718715</v>
      </c>
      <c r="AA18" s="20">
        <f t="shared" si="8"/>
        <v>-9.8981034337187204</v>
      </c>
      <c r="AB18" s="20">
        <f t="shared" ref="AB18" si="9">SUM(AB16:AB17)</f>
        <v>-25.98535870615364</v>
      </c>
      <c r="AC18" s="20">
        <f>SUM(AC16:AC17)</f>
        <v>51.495000824216632</v>
      </c>
      <c r="AD18" s="20">
        <f>SUM(AD16:AD17)</f>
        <v>13.751093288736715</v>
      </c>
    </row>
    <row r="19" spans="1:30" s="13" customFormat="1" ht="15" thickBot="1">
      <c r="A19" s="161" t="s">
        <v>81</v>
      </c>
      <c r="B19" s="21">
        <v>19.085000000000001</v>
      </c>
      <c r="C19" s="21">
        <v>0.19500000000000028</v>
      </c>
      <c r="D19" s="147"/>
      <c r="E19" s="147"/>
      <c r="F19" s="21">
        <v>-50.3</v>
      </c>
      <c r="G19" s="21">
        <v>35</v>
      </c>
      <c r="H19" s="21">
        <v>19.100000000000001</v>
      </c>
      <c r="I19" s="21">
        <v>-2</v>
      </c>
      <c r="J19" s="21">
        <v>2.6</v>
      </c>
      <c r="K19" s="21">
        <v>-3</v>
      </c>
      <c r="L19" s="21">
        <v>2.7</v>
      </c>
      <c r="M19" s="21">
        <v>-5.4</v>
      </c>
      <c r="N19" s="21">
        <v>2.2999999999999998</v>
      </c>
      <c r="O19" s="21">
        <v>-2.5</v>
      </c>
      <c r="P19" s="21">
        <v>-0.6</v>
      </c>
      <c r="Q19" s="21">
        <v>-0.2</v>
      </c>
      <c r="R19" s="21">
        <v>-0.8</v>
      </c>
      <c r="S19" s="21">
        <v>-3.3360000000000003</v>
      </c>
      <c r="T19" s="21">
        <v>0.6405040299614384</v>
      </c>
      <c r="U19" s="21">
        <v>2.9964441872595535</v>
      </c>
      <c r="V19" s="21">
        <v>0.78366188077544985</v>
      </c>
      <c r="W19" s="21">
        <f>Corp_SI!W18-BR_IS!W19</f>
        <v>0.79230363864363529</v>
      </c>
      <c r="X19" s="21">
        <f>109187.774570599/10^6</f>
        <v>0.109187774570599</v>
      </c>
      <c r="Y19" s="21">
        <v>1.9983526276313399</v>
      </c>
      <c r="Z19" s="21">
        <v>0.13600000000000001</v>
      </c>
      <c r="AA19" s="21">
        <v>0.13300000000000001</v>
      </c>
      <c r="AB19" s="21">
        <v>-6.8440000000000003</v>
      </c>
      <c r="AC19" s="21">
        <v>-18.883332249700025</v>
      </c>
      <c r="AD19" s="21">
        <v>-9.8716589400105441</v>
      </c>
    </row>
    <row r="20" spans="1:30" s="13" customFormat="1" ht="15" thickBot="1">
      <c r="A20" s="14" t="s">
        <v>82</v>
      </c>
      <c r="B20" s="20">
        <v>16.474</v>
      </c>
      <c r="C20" s="20">
        <v>-4.2430000000000003</v>
      </c>
      <c r="D20" s="146"/>
      <c r="E20" s="146"/>
      <c r="F20" s="20">
        <v>-520</v>
      </c>
      <c r="G20" s="20">
        <v>2.4</v>
      </c>
      <c r="H20" s="20">
        <v>-43.3</v>
      </c>
      <c r="I20" s="20">
        <v>-14</v>
      </c>
      <c r="J20" s="20">
        <v>-39</v>
      </c>
      <c r="K20" s="20">
        <v>-20.3</v>
      </c>
      <c r="L20" s="20">
        <v>-19</v>
      </c>
      <c r="M20" s="20">
        <v>-7.6</v>
      </c>
      <c r="N20" s="20">
        <f>SUM(N18:N19)</f>
        <v>-16.600000000000005</v>
      </c>
      <c r="O20" s="20">
        <f t="shared" ref="O20:X20" si="10">SUM(O18:O19)</f>
        <v>-5.400000000000003</v>
      </c>
      <c r="P20" s="20">
        <f t="shared" si="10"/>
        <v>17.799999999999994</v>
      </c>
      <c r="Q20" s="20">
        <f t="shared" si="10"/>
        <v>8.5000000000000142</v>
      </c>
      <c r="R20" s="20">
        <f t="shared" si="10"/>
        <v>4.9999999999999938</v>
      </c>
      <c r="S20" s="20">
        <f t="shared" si="10"/>
        <v>-10.558790000000005</v>
      </c>
      <c r="T20" s="20">
        <f t="shared" si="10"/>
        <v>23.790046096926755</v>
      </c>
      <c r="U20" s="20">
        <f t="shared" si="10"/>
        <v>-21.497539590831842</v>
      </c>
      <c r="V20" s="20">
        <f t="shared" si="10"/>
        <v>10.389923868086466</v>
      </c>
      <c r="W20" s="20">
        <f t="shared" si="10"/>
        <v>6.5954743690329893</v>
      </c>
      <c r="X20" s="20">
        <f t="shared" si="10"/>
        <v>12.935697806733652</v>
      </c>
      <c r="Y20" s="20">
        <f t="shared" ref="Y20:AA20" si="11">SUM(Y18:Y19)</f>
        <v>-14.250513494727494</v>
      </c>
      <c r="Z20" s="20">
        <f t="shared" si="11"/>
        <v>48.599103433718717</v>
      </c>
      <c r="AA20" s="20">
        <f t="shared" si="11"/>
        <v>-9.7651034337187212</v>
      </c>
      <c r="AB20" s="20">
        <f t="shared" ref="AB20" si="12">SUM(AB18:AB19)</f>
        <v>-32.829358706153641</v>
      </c>
      <c r="AC20" s="20">
        <f>SUM(AC18:AC19)</f>
        <v>32.611668574516607</v>
      </c>
      <c r="AD20" s="20">
        <f>SUM(AD18:AD19)</f>
        <v>3.8794343487261713</v>
      </c>
    </row>
    <row r="21" spans="1:30" s="13" customFormat="1" ht="15" thickBot="1">
      <c r="A21" s="19" t="s">
        <v>83</v>
      </c>
      <c r="B21" s="23">
        <v>9.6359999999999992</v>
      </c>
      <c r="C21" s="23">
        <v>-4.0659999999999989</v>
      </c>
      <c r="D21" s="148"/>
      <c r="E21" s="148"/>
      <c r="F21" s="23">
        <v>-503.8</v>
      </c>
      <c r="G21" s="23">
        <v>15.9</v>
      </c>
      <c r="H21" s="23">
        <v>-38.700000000000003</v>
      </c>
      <c r="I21" s="23">
        <v>-17.8</v>
      </c>
      <c r="J21" s="23">
        <v>-34.1</v>
      </c>
      <c r="K21" s="23">
        <v>-15.6</v>
      </c>
      <c r="L21" s="23">
        <v>-16.100000000000001</v>
      </c>
      <c r="M21" s="23">
        <v>-9</v>
      </c>
      <c r="N21" s="23">
        <f>N20</f>
        <v>-16.600000000000005</v>
      </c>
      <c r="O21" s="23">
        <f t="shared" ref="O21:X21" si="13">O20</f>
        <v>-5.400000000000003</v>
      </c>
      <c r="P21" s="23">
        <f t="shared" si="13"/>
        <v>17.799999999999994</v>
      </c>
      <c r="Q21" s="23">
        <f t="shared" si="13"/>
        <v>8.5000000000000142</v>
      </c>
      <c r="R21" s="23">
        <f t="shared" si="13"/>
        <v>4.9999999999999938</v>
      </c>
      <c r="S21" s="23">
        <f t="shared" si="13"/>
        <v>-10.558790000000005</v>
      </c>
      <c r="T21" s="23">
        <f t="shared" si="13"/>
        <v>23.790046096926755</v>
      </c>
      <c r="U21" s="23">
        <f t="shared" si="13"/>
        <v>-21.497539590831842</v>
      </c>
      <c r="V21" s="23">
        <f t="shared" si="13"/>
        <v>10.389923868086466</v>
      </c>
      <c r="W21" s="23">
        <f t="shared" si="13"/>
        <v>6.5954743690329893</v>
      </c>
      <c r="X21" s="23">
        <f t="shared" si="13"/>
        <v>12.935697806733652</v>
      </c>
      <c r="Y21" s="23">
        <f t="shared" ref="Y21" si="14">Y20</f>
        <v>-14.250513494727494</v>
      </c>
      <c r="Z21" s="23">
        <f t="shared" ref="Z21:AA21" si="15">Z20</f>
        <v>48.599103433718717</v>
      </c>
      <c r="AA21" s="23">
        <f t="shared" si="15"/>
        <v>-9.7651034337187212</v>
      </c>
      <c r="AB21" s="23">
        <f t="shared" ref="AB21" si="16">AB20</f>
        <v>-32.829358706153641</v>
      </c>
      <c r="AC21" s="23">
        <f>AC20</f>
        <v>32.611668574516607</v>
      </c>
      <c r="AD21" s="23">
        <f>AD20</f>
        <v>3.8794343487261713</v>
      </c>
    </row>
    <row r="22" spans="1:30">
      <c r="A22" s="19" t="s">
        <v>84</v>
      </c>
      <c r="B22" s="24">
        <v>6.8380000000000001</v>
      </c>
      <c r="C22" s="24">
        <v>-5.7000000000000384E-2</v>
      </c>
      <c r="D22" s="148"/>
      <c r="E22" s="148"/>
      <c r="F22" s="24">
        <v>-16.2</v>
      </c>
      <c r="G22" s="24">
        <v>-13.5</v>
      </c>
      <c r="H22" s="24">
        <v>-4.5999999999999996</v>
      </c>
      <c r="I22" s="24">
        <v>3.8</v>
      </c>
      <c r="J22" s="24">
        <v>-4.8</v>
      </c>
      <c r="K22" s="24">
        <v>-4.5999999999999996</v>
      </c>
      <c r="L22" s="24">
        <v>-2.9</v>
      </c>
      <c r="M22" s="24">
        <v>1.5</v>
      </c>
      <c r="N22" s="24">
        <v>0</v>
      </c>
      <c r="O22" s="24">
        <v>0</v>
      </c>
      <c r="P22" s="24">
        <v>0</v>
      </c>
      <c r="Q22" s="24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</row>
    <row r="23" spans="1:30">
      <c r="F23"/>
      <c r="G23"/>
      <c r="H23"/>
      <c r="I23"/>
      <c r="J23"/>
      <c r="K23"/>
      <c r="N23"/>
      <c r="O23"/>
    </row>
    <row r="24" spans="1:30">
      <c r="F24"/>
      <c r="G24"/>
      <c r="H24"/>
      <c r="I24"/>
      <c r="J24"/>
      <c r="K24"/>
      <c r="N24"/>
      <c r="O24"/>
    </row>
    <row r="27" spans="1:30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</row>
    <row r="28" spans="1:30">
      <c r="F28"/>
      <c r="G28"/>
      <c r="H28"/>
      <c r="I28"/>
      <c r="J28"/>
      <c r="K28"/>
      <c r="N28"/>
      <c r="O28"/>
    </row>
    <row r="30" spans="1:30">
      <c r="L30" s="11"/>
      <c r="M30" s="11"/>
    </row>
    <row r="31" spans="1:30">
      <c r="L31" s="11"/>
      <c r="M31" s="11"/>
    </row>
    <row r="32" spans="1:30">
      <c r="L32" s="11"/>
      <c r="M32" s="11"/>
    </row>
    <row r="33" spans="12:13">
      <c r="L33" s="11"/>
      <c r="M33" s="11"/>
    </row>
    <row r="34" spans="12:13">
      <c r="L34" s="11"/>
      <c r="M34" s="11"/>
    </row>
    <row r="35" spans="12:13">
      <c r="L35" s="11"/>
      <c r="M35" s="11"/>
    </row>
    <row r="36" spans="12:13">
      <c r="L36" s="11"/>
      <c r="M36" s="11"/>
    </row>
    <row r="37" spans="12:13">
      <c r="L37" s="11"/>
      <c r="M37" s="11"/>
    </row>
    <row r="38" spans="12:13">
      <c r="L38" s="11"/>
      <c r="M38" s="11"/>
    </row>
    <row r="39" spans="12:13">
      <c r="L39" s="11"/>
      <c r="M39" s="11"/>
    </row>
    <row r="40" spans="12:13">
      <c r="L40" s="11"/>
      <c r="M40" s="11"/>
    </row>
    <row r="41" spans="12:13">
      <c r="L41" s="11"/>
      <c r="M41" s="11"/>
    </row>
    <row r="42" spans="12:13">
      <c r="L42" s="11"/>
      <c r="M42" s="11"/>
    </row>
    <row r="43" spans="12:13">
      <c r="L43" s="11"/>
      <c r="M43" s="11"/>
    </row>
    <row r="44" spans="12:13">
      <c r="L44" s="11"/>
      <c r="M44" s="11"/>
    </row>
    <row r="45" spans="12:13">
      <c r="L45" s="11"/>
      <c r="M45" s="11"/>
    </row>
    <row r="46" spans="12:13">
      <c r="L46" s="11"/>
      <c r="M46" s="11"/>
    </row>
    <row r="47" spans="12:13">
      <c r="L47" s="11"/>
      <c r="M47" s="11"/>
    </row>
    <row r="48" spans="12:13">
      <c r="L48" s="11"/>
      <c r="M48" s="11"/>
    </row>
    <row r="49" spans="12:13">
      <c r="L49" s="11"/>
      <c r="M49" s="11"/>
    </row>
    <row r="50" spans="12:13">
      <c r="L50" s="11"/>
      <c r="M50" s="11"/>
    </row>
    <row r="51" spans="12:13">
      <c r="L51" s="11"/>
      <c r="M51" s="11"/>
    </row>
    <row r="52" spans="12:13">
      <c r="L52" s="11"/>
      <c r="M52" s="11"/>
    </row>
    <row r="53" spans="12:13">
      <c r="L53" s="11"/>
      <c r="M53" s="11"/>
    </row>
    <row r="54" spans="12:13">
      <c r="L54" s="11"/>
      <c r="M54" s="11"/>
    </row>
    <row r="55" spans="12:13">
      <c r="L55" s="11"/>
      <c r="M55" s="11"/>
    </row>
    <row r="56" spans="12:13">
      <c r="L56" s="11"/>
      <c r="M56" s="11"/>
    </row>
    <row r="57" spans="12:13">
      <c r="L57" s="11"/>
      <c r="M57" s="11"/>
    </row>
    <row r="58" spans="12:13">
      <c r="L58" s="11"/>
      <c r="M58" s="11"/>
    </row>
    <row r="59" spans="12:13">
      <c r="L59" s="11"/>
      <c r="M59" s="11"/>
    </row>
    <row r="60" spans="12:13">
      <c r="L60" s="11"/>
      <c r="M60" s="11"/>
    </row>
    <row r="61" spans="12:13">
      <c r="L61" s="11"/>
      <c r="M61" s="11"/>
    </row>
    <row r="62" spans="12:13">
      <c r="L62" s="11"/>
      <c r="M62" s="11"/>
    </row>
    <row r="63" spans="12:13">
      <c r="L63" s="11"/>
      <c r="M63" s="11"/>
    </row>
    <row r="64" spans="12:13">
      <c r="L64" s="11"/>
      <c r="M64" s="11"/>
    </row>
    <row r="65" spans="12:13">
      <c r="L65" s="11"/>
      <c r="M65" s="11"/>
    </row>
    <row r="66" spans="12:13">
      <c r="L66" s="11"/>
      <c r="M66" s="11"/>
    </row>
    <row r="67" spans="12:13">
      <c r="L67" s="11"/>
      <c r="M67" s="11"/>
    </row>
    <row r="68" spans="12:13">
      <c r="L68" s="11"/>
      <c r="M68" s="11"/>
    </row>
    <row r="69" spans="12:13">
      <c r="L69" s="11"/>
      <c r="M69" s="11"/>
    </row>
    <row r="70" spans="12:13">
      <c r="L70" s="11"/>
      <c r="M70" s="11"/>
    </row>
    <row r="71" spans="12:13">
      <c r="L71" s="11"/>
      <c r="M71" s="11"/>
    </row>
    <row r="72" spans="12:13">
      <c r="L72" s="11"/>
      <c r="M72" s="11"/>
    </row>
    <row r="73" spans="12:13">
      <c r="L73" s="11"/>
      <c r="M73" s="11"/>
    </row>
    <row r="74" spans="12:13">
      <c r="L74" s="11"/>
      <c r="M74" s="11"/>
    </row>
    <row r="75" spans="12:13">
      <c r="L75" s="11"/>
      <c r="M75" s="11"/>
    </row>
    <row r="76" spans="12:13">
      <c r="L76" s="11"/>
      <c r="M76" s="11"/>
    </row>
    <row r="77" spans="12:13">
      <c r="L77" s="11"/>
      <c r="M77" s="11"/>
    </row>
    <row r="78" spans="12:13">
      <c r="L78" s="11"/>
      <c r="M78" s="11"/>
    </row>
    <row r="79" spans="12:13">
      <c r="L79" s="11"/>
      <c r="M79" s="11"/>
    </row>
    <row r="80" spans="12:13">
      <c r="L80" s="11"/>
      <c r="M80" s="11"/>
    </row>
    <row r="81" spans="12:13">
      <c r="L81" s="11"/>
      <c r="M81" s="11"/>
    </row>
    <row r="82" spans="12:13">
      <c r="L82" s="11"/>
      <c r="M82" s="11"/>
    </row>
    <row r="83" spans="12:13">
      <c r="L83" s="11"/>
      <c r="M83" s="11"/>
    </row>
    <row r="84" spans="12:13">
      <c r="L84" s="11"/>
      <c r="M84" s="11"/>
    </row>
    <row r="85" spans="12:13">
      <c r="L85" s="11"/>
      <c r="M85" s="11"/>
    </row>
    <row r="86" spans="12:13">
      <c r="L86" s="11"/>
      <c r="M86" s="11"/>
    </row>
    <row r="87" spans="12:13">
      <c r="L87" s="11"/>
      <c r="M87" s="11"/>
    </row>
    <row r="88" spans="12:13">
      <c r="L88" s="11"/>
      <c r="M88" s="11"/>
    </row>
    <row r="89" spans="12:13">
      <c r="L89" s="11"/>
      <c r="M89" s="11"/>
    </row>
    <row r="90" spans="12:13">
      <c r="L90" s="11"/>
      <c r="M90" s="11"/>
    </row>
    <row r="91" spans="12:13">
      <c r="L91" s="11"/>
      <c r="M91" s="11"/>
    </row>
    <row r="92" spans="12:13">
      <c r="L92" s="11"/>
      <c r="M92" s="11"/>
    </row>
    <row r="93" spans="12:13">
      <c r="L93" s="11"/>
      <c r="M93" s="11"/>
    </row>
    <row r="94" spans="12:13">
      <c r="L94" s="11"/>
      <c r="M94" s="11"/>
    </row>
    <row r="95" spans="12:13">
      <c r="L95" s="11"/>
      <c r="M95" s="11"/>
    </row>
    <row r="96" spans="12:13">
      <c r="L96" s="11"/>
      <c r="M96" s="11"/>
    </row>
    <row r="97" spans="12:13">
      <c r="L97" s="11"/>
      <c r="M97" s="11"/>
    </row>
    <row r="98" spans="12:13">
      <c r="L98" s="11"/>
      <c r="M98" s="11"/>
    </row>
    <row r="99" spans="12:13">
      <c r="L99" s="11"/>
      <c r="M99" s="11"/>
    </row>
    <row r="100" spans="12:13">
      <c r="L100" s="11"/>
      <c r="M100" s="11"/>
    </row>
    <row r="101" spans="12:13">
      <c r="L101" s="11"/>
      <c r="M101" s="11"/>
    </row>
    <row r="102" spans="12:13">
      <c r="L102" s="11"/>
      <c r="M102" s="11"/>
    </row>
    <row r="103" spans="12:13">
      <c r="L103" s="11"/>
      <c r="M103" s="11"/>
    </row>
    <row r="104" spans="12:13">
      <c r="L104" s="11"/>
      <c r="M104" s="11"/>
    </row>
    <row r="105" spans="12:13">
      <c r="L105" s="11"/>
      <c r="M105" s="11"/>
    </row>
    <row r="106" spans="12:13">
      <c r="L106" s="11"/>
      <c r="M106" s="11"/>
    </row>
    <row r="107" spans="12:13">
      <c r="L107" s="11"/>
      <c r="M107" s="11"/>
    </row>
    <row r="108" spans="12:13">
      <c r="L108" s="11"/>
      <c r="M108" s="11"/>
    </row>
    <row r="109" spans="12:13">
      <c r="L109" s="11"/>
      <c r="M109" s="11"/>
    </row>
    <row r="110" spans="12:13">
      <c r="L110" s="11"/>
      <c r="M110" s="11"/>
    </row>
    <row r="111" spans="12:13">
      <c r="L111" s="11"/>
      <c r="M111" s="11"/>
    </row>
    <row r="112" spans="12:13">
      <c r="L112" s="11"/>
      <c r="M112" s="11"/>
    </row>
    <row r="113" spans="12:13">
      <c r="L113" s="11"/>
      <c r="M113" s="11"/>
    </row>
    <row r="114" spans="12:13">
      <c r="L114" s="11"/>
      <c r="M114" s="11"/>
    </row>
    <row r="115" spans="12:13">
      <c r="L115" s="11"/>
      <c r="M115" s="11"/>
    </row>
    <row r="116" spans="12:13">
      <c r="L116" s="11"/>
      <c r="M116" s="11"/>
    </row>
    <row r="117" spans="12:13">
      <c r="L117" s="11"/>
      <c r="M117" s="11"/>
    </row>
    <row r="118" spans="12:13">
      <c r="L118" s="11"/>
      <c r="M118" s="11"/>
    </row>
    <row r="119" spans="12:13">
      <c r="L119" s="11"/>
      <c r="M119" s="11"/>
    </row>
    <row r="120" spans="12:13">
      <c r="L120" s="11"/>
      <c r="M120" s="11"/>
    </row>
    <row r="121" spans="12:13">
      <c r="L121" s="11"/>
      <c r="M121" s="11"/>
    </row>
    <row r="122" spans="12:13">
      <c r="L122" s="11"/>
      <c r="M122" s="11"/>
    </row>
    <row r="123" spans="12:13">
      <c r="L123" s="11"/>
      <c r="M123" s="11"/>
    </row>
    <row r="124" spans="12:13">
      <c r="L124" s="11"/>
      <c r="M124" s="11"/>
    </row>
    <row r="125" spans="12:13">
      <c r="L125" s="11"/>
      <c r="M125" s="11"/>
    </row>
    <row r="126" spans="12:13">
      <c r="L126" s="11"/>
      <c r="M126" s="11"/>
    </row>
    <row r="127" spans="12:13">
      <c r="L127" s="11"/>
      <c r="M127" s="11"/>
    </row>
    <row r="128" spans="12:13">
      <c r="L128" s="11"/>
      <c r="M128" s="11"/>
    </row>
    <row r="129" spans="12:13">
      <c r="L129" s="11"/>
      <c r="M129" s="11"/>
    </row>
  </sheetData>
  <mergeCells count="1">
    <mergeCell ref="A1:A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W86"/>
  <sheetViews>
    <sheetView showGridLines="0" zoomScale="90" zoomScaleNormal="9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6" sqref="K6"/>
    </sheetView>
  </sheetViews>
  <sheetFormatPr defaultColWidth="9" defaultRowHeight="14.25"/>
  <cols>
    <col min="1" max="1" width="46.875" customWidth="1"/>
    <col min="2" max="4" width="12.25" style="11" hidden="1" customWidth="1"/>
    <col min="5" max="6" width="12.25" style="12" hidden="1" customWidth="1"/>
    <col min="7" max="8" width="12.25" style="11" hidden="1" customWidth="1" collapsed="1"/>
    <col min="9" max="9" width="12.25" style="12" hidden="1" customWidth="1"/>
    <col min="10" max="10" width="12.75" style="12" hidden="1" customWidth="1"/>
    <col min="11" max="23" width="12.75" style="12" customWidth="1"/>
    <col min="24" max="16384" width="9" style="12"/>
  </cols>
  <sheetData>
    <row r="1" spans="1:23" ht="17.25" customHeight="1">
      <c r="A1" s="179"/>
    </row>
    <row r="2" spans="1:23" ht="17.25" customHeight="1">
      <c r="A2" s="179"/>
    </row>
    <row r="3" spans="1:23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3" ht="16.5" customHeight="1">
      <c r="A4" s="29" t="s">
        <v>205</v>
      </c>
      <c r="B4" s="50">
        <v>44196</v>
      </c>
      <c r="C4" s="49">
        <v>44286</v>
      </c>
      <c r="D4" s="49">
        <v>44377</v>
      </c>
      <c r="E4" s="49">
        <v>44469</v>
      </c>
      <c r="F4" s="49">
        <v>44561</v>
      </c>
      <c r="G4" s="50">
        <v>44651</v>
      </c>
      <c r="H4" s="50">
        <v>44742</v>
      </c>
      <c r="I4" s="50">
        <v>44834</v>
      </c>
      <c r="J4" s="50">
        <v>44926</v>
      </c>
      <c r="K4" s="50">
        <v>45016</v>
      </c>
      <c r="L4" s="50">
        <v>45107</v>
      </c>
      <c r="M4" s="50">
        <v>45199</v>
      </c>
      <c r="N4" s="50">
        <v>45291</v>
      </c>
      <c r="O4" s="50">
        <v>45382</v>
      </c>
      <c r="P4" s="50">
        <v>45473</v>
      </c>
      <c r="Q4" s="50">
        <v>45565</v>
      </c>
      <c r="R4" s="50">
        <v>45657</v>
      </c>
      <c r="S4" s="50">
        <v>45747</v>
      </c>
      <c r="T4" s="50">
        <v>45838</v>
      </c>
      <c r="U4" s="50">
        <v>45930</v>
      </c>
      <c r="V4" s="50">
        <v>46022</v>
      </c>
      <c r="W4" s="50">
        <v>46112</v>
      </c>
    </row>
    <row r="5" spans="1:23" ht="16.5" customHeight="1">
      <c r="A5" s="25" t="s">
        <v>35</v>
      </c>
      <c r="B5" s="12"/>
      <c r="C5" s="12"/>
      <c r="D5" s="12"/>
      <c r="G5" s="12"/>
      <c r="H5" s="12"/>
    </row>
    <row r="6" spans="1:23" ht="6.6" customHeight="1">
      <c r="A6" s="29"/>
      <c r="B6" s="27"/>
      <c r="C6" s="28"/>
      <c r="D6" s="28"/>
      <c r="E6" s="28"/>
      <c r="F6" s="28"/>
      <c r="G6" s="27"/>
      <c r="H6" s="27"/>
    </row>
    <row r="7" spans="1:23" s="13" customFormat="1">
      <c r="A7" s="37" t="s">
        <v>86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s="13" customFormat="1">
      <c r="A8" s="165" t="s">
        <v>194</v>
      </c>
      <c r="B8" s="51">
        <v>59</v>
      </c>
      <c r="C8" s="51">
        <v>0</v>
      </c>
      <c r="D8" s="51">
        <v>0</v>
      </c>
      <c r="E8" s="51">
        <v>0</v>
      </c>
      <c r="F8" s="58">
        <v>0</v>
      </c>
      <c r="G8" s="58">
        <v>0</v>
      </c>
      <c r="H8" s="58">
        <v>0</v>
      </c>
      <c r="I8" s="58" t="s">
        <v>29</v>
      </c>
      <c r="J8" s="58" t="s">
        <v>29</v>
      </c>
      <c r="K8" s="58" t="s">
        <v>32</v>
      </c>
      <c r="L8" s="58" t="s">
        <v>32</v>
      </c>
      <c r="M8" s="58" t="s">
        <v>32</v>
      </c>
      <c r="N8" s="58" t="s">
        <v>29</v>
      </c>
      <c r="O8" s="58">
        <v>0</v>
      </c>
      <c r="P8" s="58">
        <v>0</v>
      </c>
      <c r="Q8" s="58">
        <v>0</v>
      </c>
      <c r="R8" s="58">
        <v>0</v>
      </c>
      <c r="S8" s="58">
        <v>0</v>
      </c>
      <c r="T8" s="58">
        <v>0</v>
      </c>
      <c r="U8" s="58">
        <v>0</v>
      </c>
      <c r="V8" s="58">
        <v>0</v>
      </c>
      <c r="W8" s="58">
        <v>0</v>
      </c>
    </row>
    <row r="9" spans="1:23" s="13" customFormat="1">
      <c r="A9" s="165" t="s">
        <v>104</v>
      </c>
      <c r="B9" s="51">
        <v>245.4</v>
      </c>
      <c r="C9" s="51">
        <v>315.39999999999998</v>
      </c>
      <c r="D9" s="51">
        <v>262.2</v>
      </c>
      <c r="E9" s="51">
        <v>121</v>
      </c>
      <c r="F9" s="58">
        <v>108.8</v>
      </c>
      <c r="G9" s="51">
        <v>215.2</v>
      </c>
      <c r="H9" s="51">
        <v>229.5</v>
      </c>
      <c r="I9" s="51">
        <v>229.6</v>
      </c>
      <c r="J9" s="51">
        <v>212.7</v>
      </c>
      <c r="K9" s="51">
        <v>196.32</v>
      </c>
      <c r="L9" s="51">
        <v>176.238</v>
      </c>
      <c r="M9" s="51">
        <v>170.006</v>
      </c>
      <c r="N9" s="51">
        <v>69.245999999999995</v>
      </c>
      <c r="O9" s="51">
        <v>67.048000000000002</v>
      </c>
      <c r="P9" s="51">
        <v>71.144000000000005</v>
      </c>
      <c r="Q9" s="51">
        <v>69.875</v>
      </c>
      <c r="R9" s="51">
        <v>63.725999999999999</v>
      </c>
      <c r="S9" s="51">
        <v>56.014000000000003</v>
      </c>
      <c r="T9" s="58">
        <v>50.317</v>
      </c>
      <c r="U9" s="58">
        <v>46.335999999999999</v>
      </c>
      <c r="V9" s="58">
        <v>53.15</v>
      </c>
      <c r="W9" s="58">
        <v>50.13</v>
      </c>
    </row>
    <row r="10" spans="1:23" s="13" customFormat="1">
      <c r="A10" s="165" t="s">
        <v>105</v>
      </c>
      <c r="B10" s="51">
        <v>9.6999999999999993</v>
      </c>
      <c r="C10" s="51">
        <v>9.3000000000000007</v>
      </c>
      <c r="D10" s="51">
        <v>7.5</v>
      </c>
      <c r="E10" s="51">
        <v>7.4</v>
      </c>
      <c r="F10" s="58">
        <v>7.2</v>
      </c>
      <c r="G10" s="51">
        <v>6.4</v>
      </c>
      <c r="H10" s="51">
        <v>7.4</v>
      </c>
      <c r="I10" s="51">
        <v>7.8</v>
      </c>
      <c r="J10" s="51">
        <v>8.1</v>
      </c>
      <c r="K10" s="51">
        <v>7.585</v>
      </c>
      <c r="L10" s="51">
        <v>7.819</v>
      </c>
      <c r="M10" s="51">
        <v>7.4950000000000001</v>
      </c>
      <c r="N10" s="51">
        <v>6.9180000000000001</v>
      </c>
      <c r="O10" s="51">
        <v>6.835</v>
      </c>
      <c r="P10" s="51">
        <v>8.2080000000000002</v>
      </c>
      <c r="Q10" s="51">
        <v>7.2530000000000001</v>
      </c>
      <c r="R10" s="51">
        <v>7.5119999999999996</v>
      </c>
      <c r="S10" s="51">
        <v>6.05</v>
      </c>
      <c r="T10" s="58">
        <v>5.6849999999999996</v>
      </c>
      <c r="U10" s="58">
        <v>5.0789999999999997</v>
      </c>
      <c r="V10" s="58">
        <v>4.47</v>
      </c>
      <c r="W10" s="58">
        <v>4.2060000000000004</v>
      </c>
    </row>
    <row r="11" spans="1:23" s="13" customFormat="1">
      <c r="A11" s="165" t="s">
        <v>98</v>
      </c>
      <c r="B11" s="51">
        <v>36.4</v>
      </c>
      <c r="C11" s="51">
        <v>27</v>
      </c>
      <c r="D11" s="51">
        <v>54.9</v>
      </c>
      <c r="E11" s="51">
        <v>69.8</v>
      </c>
      <c r="F11" s="58">
        <v>76</v>
      </c>
      <c r="G11" s="51">
        <v>51.5</v>
      </c>
      <c r="H11" s="51">
        <v>81.5</v>
      </c>
      <c r="I11" s="51">
        <v>58.6</v>
      </c>
      <c r="J11" s="51">
        <v>34.799999999999997</v>
      </c>
      <c r="K11" s="51">
        <v>23.071999999999999</v>
      </c>
      <c r="L11" s="51">
        <v>56.851999999999997</v>
      </c>
      <c r="M11" s="51">
        <v>55.744</v>
      </c>
      <c r="N11" s="51">
        <v>31.757999999999999</v>
      </c>
      <c r="O11" s="51">
        <v>20.824999999999999</v>
      </c>
      <c r="P11" s="51">
        <v>19.475999999999999</v>
      </c>
      <c r="Q11" s="51">
        <v>12.273</v>
      </c>
      <c r="R11" s="51">
        <v>36.241</v>
      </c>
      <c r="S11" s="51">
        <v>32.808999999999997</v>
      </c>
      <c r="T11" s="58">
        <v>35.96</v>
      </c>
      <c r="U11" s="58">
        <v>23.442</v>
      </c>
      <c r="V11" s="58">
        <v>46.578000000000003</v>
      </c>
      <c r="W11" s="58">
        <v>52.92</v>
      </c>
    </row>
    <row r="12" spans="1:23" s="13" customFormat="1">
      <c r="A12" s="165" t="s">
        <v>92</v>
      </c>
      <c r="B12" s="51">
        <v>21.2</v>
      </c>
      <c r="C12" s="51">
        <v>20.6</v>
      </c>
      <c r="D12" s="51">
        <v>19.100000000000001</v>
      </c>
      <c r="E12" s="51">
        <v>20.399999999999999</v>
      </c>
      <c r="F12" s="58">
        <v>21.8</v>
      </c>
      <c r="G12" s="51">
        <v>26.2</v>
      </c>
      <c r="H12" s="51">
        <v>39.700000000000003</v>
      </c>
      <c r="I12" s="51">
        <v>33</v>
      </c>
      <c r="J12" s="51">
        <v>29.6</v>
      </c>
      <c r="K12" s="51">
        <v>15.231999999999999</v>
      </c>
      <c r="L12" s="51">
        <v>13.975</v>
      </c>
      <c r="M12" s="51">
        <v>42.566000000000003</v>
      </c>
      <c r="N12" s="51">
        <v>239.25</v>
      </c>
      <c r="O12" s="51">
        <v>75.384</v>
      </c>
      <c r="P12" s="51">
        <v>37.384</v>
      </c>
      <c r="Q12" s="51">
        <v>35.307000000000002</v>
      </c>
      <c r="R12" s="51">
        <v>60.698999999999998</v>
      </c>
      <c r="S12" s="51">
        <v>79.623000000000005</v>
      </c>
      <c r="T12" s="58">
        <v>65.037000000000006</v>
      </c>
      <c r="U12" s="58">
        <v>59.746000000000002</v>
      </c>
      <c r="V12" s="58">
        <v>76.244</v>
      </c>
      <c r="W12" s="58">
        <v>60.621000000000002</v>
      </c>
    </row>
    <row r="13" spans="1:23" s="13" customFormat="1">
      <c r="A13" s="165" t="s">
        <v>93</v>
      </c>
      <c r="B13" s="51">
        <v>3.7</v>
      </c>
      <c r="C13" s="51">
        <v>3.5</v>
      </c>
      <c r="D13" s="51">
        <v>2.2999999999999998</v>
      </c>
      <c r="E13" s="51">
        <v>0.8</v>
      </c>
      <c r="F13" s="58">
        <v>2.9</v>
      </c>
      <c r="G13" s="51">
        <v>1.3</v>
      </c>
      <c r="H13" s="51">
        <v>1.6</v>
      </c>
      <c r="I13" s="51">
        <v>0.9</v>
      </c>
      <c r="J13" s="51">
        <v>1.9</v>
      </c>
      <c r="K13" s="51">
        <v>3.3420000000000001</v>
      </c>
      <c r="L13" s="51">
        <v>2.63</v>
      </c>
      <c r="M13" s="51">
        <v>2.7069999999999999</v>
      </c>
      <c r="N13" s="51">
        <v>1.23</v>
      </c>
      <c r="O13" s="51">
        <v>1.4910000000000001</v>
      </c>
      <c r="P13" s="51">
        <v>1.429</v>
      </c>
      <c r="Q13" s="51">
        <v>1.1990000000000001</v>
      </c>
      <c r="R13" s="51">
        <v>10.731</v>
      </c>
      <c r="S13" s="51">
        <v>13.503</v>
      </c>
      <c r="T13" s="58">
        <v>14.432</v>
      </c>
      <c r="U13" s="58">
        <v>12.712</v>
      </c>
      <c r="V13" s="58">
        <v>18.030999999999999</v>
      </c>
      <c r="W13" s="58">
        <v>12.654</v>
      </c>
    </row>
    <row r="14" spans="1:23" s="13" customFormat="1">
      <c r="A14" s="165" t="s">
        <v>198</v>
      </c>
      <c r="B14" s="51">
        <v>6</v>
      </c>
      <c r="C14" s="51">
        <v>5.2</v>
      </c>
      <c r="D14" s="51">
        <v>4.3</v>
      </c>
      <c r="E14" s="51">
        <v>4.2</v>
      </c>
      <c r="F14" s="58">
        <v>1.3</v>
      </c>
      <c r="G14" s="51">
        <v>0.9</v>
      </c>
      <c r="H14" s="51">
        <v>0.8</v>
      </c>
      <c r="I14" s="51">
        <v>0.5</v>
      </c>
      <c r="J14" s="51">
        <v>0.3</v>
      </c>
      <c r="K14" s="51">
        <v>0.17100000000000001</v>
      </c>
      <c r="L14" s="51">
        <v>0.72499999999999998</v>
      </c>
      <c r="M14" s="51">
        <v>0.41399999999999998</v>
      </c>
      <c r="N14" s="51">
        <v>7.4999999999999997E-2</v>
      </c>
      <c r="O14" s="51">
        <v>0.161</v>
      </c>
      <c r="P14" s="51">
        <v>0.77900000000000003</v>
      </c>
      <c r="Q14" s="51">
        <v>4.8630000000000004</v>
      </c>
      <c r="R14" s="51">
        <v>6.88</v>
      </c>
      <c r="S14" s="51">
        <v>6.22</v>
      </c>
      <c r="T14" s="58">
        <v>5.3739999999999997</v>
      </c>
      <c r="U14" s="58">
        <v>5.1790000000000003</v>
      </c>
      <c r="V14" s="58">
        <v>12.711</v>
      </c>
      <c r="W14" s="58">
        <v>9.6739999999999995</v>
      </c>
    </row>
    <row r="15" spans="1:23" s="13" customFormat="1">
      <c r="A15" s="165" t="s">
        <v>199</v>
      </c>
      <c r="B15" s="51">
        <v>71.3</v>
      </c>
      <c r="C15" s="51">
        <v>68.8</v>
      </c>
      <c r="D15" s="51">
        <v>79.099999999999994</v>
      </c>
      <c r="E15" s="51">
        <v>90.2</v>
      </c>
      <c r="F15" s="58">
        <v>130</v>
      </c>
      <c r="G15" s="51">
        <v>115.9</v>
      </c>
      <c r="H15" s="51">
        <v>148.9</v>
      </c>
      <c r="I15" s="51">
        <v>205.7</v>
      </c>
      <c r="J15" s="51">
        <v>109.9</v>
      </c>
      <c r="K15" s="51">
        <v>116.765</v>
      </c>
      <c r="L15" s="51">
        <v>134.13399999999999</v>
      </c>
      <c r="M15" s="51">
        <v>109.14400000000001</v>
      </c>
      <c r="N15" s="51">
        <v>98.421999999999997</v>
      </c>
      <c r="O15" s="51">
        <v>93.162999999999997</v>
      </c>
      <c r="P15" s="51">
        <v>107.262</v>
      </c>
      <c r="Q15" s="51">
        <v>123.373</v>
      </c>
      <c r="R15" s="51">
        <v>207.24799999999999</v>
      </c>
      <c r="S15" s="51">
        <v>168.01599999999999</v>
      </c>
      <c r="T15" s="58">
        <v>263.35000000000002</v>
      </c>
      <c r="U15" s="58">
        <v>139.34100000000001</v>
      </c>
      <c r="V15" s="58">
        <v>122.91800000000001</v>
      </c>
      <c r="W15" s="58">
        <v>157.732</v>
      </c>
    </row>
    <row r="16" spans="1:23" s="13" customFormat="1">
      <c r="A16" s="37"/>
      <c r="B16" s="55">
        <v>452.6</v>
      </c>
      <c r="C16" s="55">
        <v>449.7</v>
      </c>
      <c r="D16" s="55">
        <v>429.4</v>
      </c>
      <c r="E16" s="55">
        <v>313.8</v>
      </c>
      <c r="F16" s="55">
        <v>348</v>
      </c>
      <c r="G16" s="55">
        <v>417.4</v>
      </c>
      <c r="H16" s="55">
        <v>509.5</v>
      </c>
      <c r="I16" s="55">
        <v>536</v>
      </c>
      <c r="J16" s="55">
        <v>397.4</v>
      </c>
      <c r="K16" s="55">
        <v>362.48700000000002</v>
      </c>
      <c r="L16" s="55">
        <v>392.37299999999999</v>
      </c>
      <c r="M16" s="55">
        <v>388.07600000000002</v>
      </c>
      <c r="N16" s="55">
        <f t="shared" ref="N16:T16" si="0">SUM(N9:N15)</f>
        <v>446.899</v>
      </c>
      <c r="O16" s="55">
        <f t="shared" si="0"/>
        <v>264.90699999999998</v>
      </c>
      <c r="P16" s="55">
        <f t="shared" si="0"/>
        <v>245.68199999999999</v>
      </c>
      <c r="Q16" s="55">
        <f t="shared" si="0"/>
        <v>254.14300000000003</v>
      </c>
      <c r="R16" s="55">
        <f t="shared" si="0"/>
        <v>393.03699999999998</v>
      </c>
      <c r="S16" s="55">
        <f t="shared" si="0"/>
        <v>362.23499999999996</v>
      </c>
      <c r="T16" s="55">
        <f t="shared" si="0"/>
        <v>440.15500000000003</v>
      </c>
      <c r="U16" s="55">
        <f t="shared" ref="U16" si="1">SUM(U9:U15)</f>
        <v>291.83500000000004</v>
      </c>
      <c r="V16" s="55">
        <f>SUM(V9:V15)</f>
        <v>334.10200000000003</v>
      </c>
      <c r="W16" s="55">
        <v>347.93700000000001</v>
      </c>
    </row>
    <row r="17" spans="1:23">
      <c r="A17" s="4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>
        <v>0</v>
      </c>
      <c r="O17" s="57"/>
      <c r="P17" s="57"/>
      <c r="Q17" s="57"/>
      <c r="R17" s="57"/>
      <c r="S17" s="57"/>
      <c r="T17" s="57"/>
      <c r="U17" s="57"/>
      <c r="V17" s="57"/>
      <c r="W17" s="57"/>
    </row>
    <row r="18" spans="1:23" s="13" customFormat="1">
      <c r="A18" s="37" t="s">
        <v>109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>
        <v>0</v>
      </c>
      <c r="O18" s="54"/>
      <c r="P18" s="54"/>
      <c r="Q18" s="54"/>
      <c r="R18" s="54"/>
      <c r="S18" s="54"/>
      <c r="T18" s="54"/>
      <c r="U18" s="54"/>
      <c r="V18" s="54"/>
      <c r="W18" s="54"/>
    </row>
    <row r="19" spans="1:23">
      <c r="A19" s="165" t="s">
        <v>114</v>
      </c>
      <c r="B19" s="51">
        <v>100.3</v>
      </c>
      <c r="C19" s="51">
        <v>112.2</v>
      </c>
      <c r="D19" s="51">
        <v>134.30000000000001</v>
      </c>
      <c r="E19" s="51">
        <v>148.6</v>
      </c>
      <c r="F19" s="51">
        <v>175.1</v>
      </c>
      <c r="G19" s="51">
        <v>142.30000000000001</v>
      </c>
      <c r="H19" s="51">
        <v>161.69999999999999</v>
      </c>
      <c r="I19" s="51">
        <v>190.3</v>
      </c>
      <c r="J19" s="51">
        <v>210.7</v>
      </c>
      <c r="K19" s="51">
        <v>184.102</v>
      </c>
      <c r="L19" s="51">
        <v>192.43700000000001</v>
      </c>
      <c r="M19" s="51">
        <v>166.20599999999999</v>
      </c>
      <c r="N19" s="51">
        <v>225.27199999999999</v>
      </c>
      <c r="O19" s="51">
        <v>130.23599999999999</v>
      </c>
      <c r="P19" s="51">
        <v>140.93100000000001</v>
      </c>
      <c r="Q19" s="51">
        <v>159.63900000000001</v>
      </c>
      <c r="R19" s="51">
        <v>114.059</v>
      </c>
      <c r="S19" s="51">
        <v>129.33500000000001</v>
      </c>
      <c r="T19" s="51">
        <v>95.415999999999997</v>
      </c>
      <c r="U19" s="51">
        <v>154.173</v>
      </c>
      <c r="V19" s="51">
        <v>207.33500000000001</v>
      </c>
      <c r="W19" s="51">
        <v>190.976</v>
      </c>
    </row>
    <row r="20" spans="1:23">
      <c r="A20" s="165" t="s">
        <v>115</v>
      </c>
      <c r="B20" s="51">
        <v>148.1</v>
      </c>
      <c r="C20" s="51">
        <v>146.9</v>
      </c>
      <c r="D20" s="51">
        <v>116.2</v>
      </c>
      <c r="E20" s="51">
        <v>138.80000000000001</v>
      </c>
      <c r="F20" s="51">
        <v>192.3</v>
      </c>
      <c r="G20" s="51">
        <v>144.80000000000001</v>
      </c>
      <c r="H20" s="51">
        <v>182.4</v>
      </c>
      <c r="I20" s="51">
        <v>138.5</v>
      </c>
      <c r="J20" s="51">
        <v>111.1</v>
      </c>
      <c r="K20" s="51">
        <v>83.372</v>
      </c>
      <c r="L20" s="51">
        <v>87.165999999999997</v>
      </c>
      <c r="M20" s="51">
        <v>102.51</v>
      </c>
      <c r="N20" s="51">
        <v>127.822</v>
      </c>
      <c r="O20" s="51">
        <v>61.515999999999998</v>
      </c>
      <c r="P20" s="51">
        <v>57.619</v>
      </c>
      <c r="Q20" s="51">
        <v>64.662999999999997</v>
      </c>
      <c r="R20" s="51">
        <v>296.334</v>
      </c>
      <c r="S20" s="51">
        <v>169.797</v>
      </c>
      <c r="T20" s="51">
        <v>156.33000000000001</v>
      </c>
      <c r="U20" s="51">
        <v>99.432000000000002</v>
      </c>
      <c r="V20" s="51">
        <v>158.89099999999999</v>
      </c>
      <c r="W20" s="51">
        <v>113.592</v>
      </c>
    </row>
    <row r="21" spans="1:23">
      <c r="A21" s="165" t="s">
        <v>206</v>
      </c>
      <c r="B21" s="51">
        <v>64.900000000000006</v>
      </c>
      <c r="C21" s="51">
        <v>59.3</v>
      </c>
      <c r="D21" s="51">
        <v>57.5</v>
      </c>
      <c r="E21" s="51">
        <v>67.8</v>
      </c>
      <c r="F21" s="51">
        <v>65.099999999999994</v>
      </c>
      <c r="G21" s="51">
        <v>51.1</v>
      </c>
      <c r="H21" s="51">
        <v>54.5</v>
      </c>
      <c r="I21" s="51">
        <v>76.7</v>
      </c>
      <c r="J21" s="51">
        <v>70</v>
      </c>
      <c r="K21" s="51">
        <v>68.599000000000004</v>
      </c>
      <c r="L21" s="51">
        <v>57.061</v>
      </c>
      <c r="M21" s="51">
        <v>54.003</v>
      </c>
      <c r="N21" s="51">
        <v>25.43</v>
      </c>
      <c r="O21" s="51">
        <v>80.638999999999996</v>
      </c>
      <c r="P21" s="51">
        <v>79.388999999999996</v>
      </c>
      <c r="Q21" s="51">
        <v>83.015000000000001</v>
      </c>
      <c r="R21" s="51">
        <v>70.2</v>
      </c>
      <c r="S21" s="51">
        <v>67.218000000000004</v>
      </c>
      <c r="T21" s="51">
        <v>96.528000000000006</v>
      </c>
      <c r="U21" s="51">
        <v>100.925</v>
      </c>
      <c r="V21" s="51">
        <v>143.04900000000001</v>
      </c>
      <c r="W21" s="51">
        <v>159.33799999999999</v>
      </c>
    </row>
    <row r="22" spans="1:23">
      <c r="A22" s="37"/>
      <c r="B22" s="55">
        <v>313.3</v>
      </c>
      <c r="C22" s="55">
        <v>318.3</v>
      </c>
      <c r="D22" s="55">
        <v>308</v>
      </c>
      <c r="E22" s="55">
        <v>355.1</v>
      </c>
      <c r="F22" s="55">
        <v>432.5</v>
      </c>
      <c r="G22" s="55">
        <v>338.3</v>
      </c>
      <c r="H22" s="55">
        <v>398.5</v>
      </c>
      <c r="I22" s="55">
        <v>405.5</v>
      </c>
      <c r="J22" s="55">
        <v>391.8</v>
      </c>
      <c r="K22" s="55">
        <v>336.07299999999998</v>
      </c>
      <c r="L22" s="55">
        <v>336.66399999999999</v>
      </c>
      <c r="M22" s="55">
        <v>322.71899999999999</v>
      </c>
      <c r="N22" s="55">
        <v>378.524</v>
      </c>
      <c r="O22" s="55">
        <f t="shared" ref="O22:T22" si="2">SUM(O19:O21)</f>
        <v>272.39099999999996</v>
      </c>
      <c r="P22" s="55">
        <f t="shared" si="2"/>
        <v>277.93900000000002</v>
      </c>
      <c r="Q22" s="55">
        <f t="shared" si="2"/>
        <v>307.31700000000001</v>
      </c>
      <c r="R22" s="55">
        <f t="shared" si="2"/>
        <v>480.59300000000002</v>
      </c>
      <c r="S22" s="55">
        <f t="shared" si="2"/>
        <v>366.35</v>
      </c>
      <c r="T22" s="55">
        <f t="shared" si="2"/>
        <v>348.274</v>
      </c>
      <c r="U22" s="55">
        <f t="shared" ref="U22" si="3">SUM(U19:U21)</f>
        <v>354.53000000000003</v>
      </c>
      <c r="V22" s="55">
        <f>SUM(V19:V21)</f>
        <v>509.27499999999998</v>
      </c>
      <c r="W22" s="55">
        <v>463.90599999999995</v>
      </c>
    </row>
    <row r="23" spans="1:23" s="13" customFormat="1">
      <c r="A23"/>
      <c r="B23"/>
      <c r="C23"/>
      <c r="D23"/>
      <c r="E23"/>
      <c r="F23"/>
      <c r="G23"/>
      <c r="H23"/>
      <c r="L23" s="12"/>
      <c r="M23" s="12"/>
    </row>
    <row r="24" spans="1:23">
      <c r="B24"/>
      <c r="C24"/>
      <c r="D24"/>
      <c r="G24"/>
      <c r="H24"/>
    </row>
    <row r="27" spans="1:23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</row>
    <row r="28" spans="1:23">
      <c r="B28"/>
      <c r="C28"/>
      <c r="D28"/>
      <c r="G28"/>
      <c r="H28"/>
    </row>
    <row r="30" spans="1:23">
      <c r="B30" s="36"/>
      <c r="C30" s="36"/>
      <c r="D30" s="36"/>
      <c r="E30" s="36"/>
      <c r="F30" s="36"/>
      <c r="G30" s="36"/>
      <c r="H30" s="36"/>
    </row>
    <row r="31" spans="1:23" ht="12">
      <c r="A31" s="12"/>
      <c r="B31" s="36"/>
      <c r="C31" s="36"/>
      <c r="D31" s="36"/>
      <c r="E31" s="36"/>
      <c r="F31" s="36"/>
      <c r="G31" s="36"/>
      <c r="H31" s="36"/>
    </row>
    <row r="32" spans="1:23" ht="12">
      <c r="A32" s="12"/>
      <c r="B32" s="36"/>
      <c r="C32" s="36"/>
      <c r="D32" s="36"/>
      <c r="E32" s="36"/>
      <c r="F32" s="36"/>
      <c r="G32" s="36"/>
      <c r="H32" s="36"/>
    </row>
    <row r="33" spans="1:8" ht="12">
      <c r="A33" s="12"/>
      <c r="B33" s="36"/>
      <c r="C33" s="36"/>
      <c r="D33" s="36"/>
      <c r="E33" s="36"/>
      <c r="F33" s="36"/>
      <c r="G33" s="36"/>
      <c r="H33" s="36"/>
    </row>
    <row r="34" spans="1:8" ht="12">
      <c r="A34" s="12"/>
      <c r="B34" s="36"/>
      <c r="C34" s="36"/>
      <c r="D34" s="36"/>
      <c r="E34" s="36"/>
      <c r="F34" s="36"/>
      <c r="G34" s="36"/>
      <c r="H34" s="36"/>
    </row>
    <row r="35" spans="1:8" ht="12">
      <c r="A35" s="12"/>
      <c r="B35" s="36"/>
      <c r="C35" s="36"/>
      <c r="D35" s="36"/>
      <c r="E35" s="36"/>
      <c r="F35" s="36"/>
      <c r="G35" s="36"/>
      <c r="H35" s="36"/>
    </row>
    <row r="36" spans="1:8" ht="12">
      <c r="A36" s="12"/>
      <c r="B36" s="36"/>
      <c r="C36" s="36"/>
      <c r="D36" s="36"/>
      <c r="E36" s="36"/>
      <c r="F36" s="36"/>
      <c r="G36" s="36"/>
      <c r="H36" s="36"/>
    </row>
    <row r="37" spans="1:8" ht="12">
      <c r="A37" s="12"/>
      <c r="B37" s="36"/>
      <c r="C37" s="36"/>
      <c r="D37" s="36"/>
      <c r="E37" s="36"/>
      <c r="F37" s="36"/>
      <c r="G37" s="36"/>
      <c r="H37" s="36"/>
    </row>
    <row r="38" spans="1:8" ht="12">
      <c r="A38" s="12"/>
      <c r="B38" s="36"/>
      <c r="C38" s="36"/>
      <c r="D38" s="36"/>
      <c r="E38" s="36"/>
      <c r="F38" s="36"/>
      <c r="G38" s="36"/>
      <c r="H38" s="36"/>
    </row>
    <row r="39" spans="1:8" ht="12">
      <c r="A39" s="12"/>
      <c r="B39" s="36"/>
      <c r="C39" s="36"/>
      <c r="D39" s="36"/>
      <c r="E39" s="36"/>
      <c r="F39" s="36"/>
      <c r="G39" s="36"/>
      <c r="H39" s="36"/>
    </row>
    <row r="40" spans="1:8" ht="12">
      <c r="A40" s="12"/>
      <c r="B40" s="36"/>
      <c r="C40" s="36"/>
      <c r="D40" s="36"/>
      <c r="E40" s="36"/>
      <c r="F40" s="36"/>
      <c r="G40" s="36"/>
      <c r="H40" s="36"/>
    </row>
    <row r="41" spans="1:8" ht="12">
      <c r="A41" s="12"/>
      <c r="B41" s="36"/>
      <c r="C41" s="36"/>
      <c r="D41" s="36"/>
      <c r="E41" s="36"/>
      <c r="F41" s="36"/>
      <c r="G41" s="36"/>
      <c r="H41" s="36"/>
    </row>
    <row r="42" spans="1:8" ht="12">
      <c r="A42" s="12"/>
      <c r="B42" s="36"/>
      <c r="C42" s="36"/>
      <c r="D42" s="36"/>
      <c r="E42" s="36"/>
      <c r="F42" s="36"/>
      <c r="G42" s="36"/>
      <c r="H42" s="36"/>
    </row>
    <row r="43" spans="1:8" ht="12">
      <c r="A43" s="12"/>
      <c r="B43" s="36"/>
      <c r="C43" s="36"/>
      <c r="D43" s="36"/>
      <c r="E43" s="36"/>
      <c r="F43" s="36"/>
      <c r="G43" s="36"/>
      <c r="H43" s="36"/>
    </row>
    <row r="44" spans="1:8" ht="12">
      <c r="A44" s="12"/>
      <c r="B44" s="36"/>
      <c r="C44" s="36"/>
      <c r="D44" s="36"/>
      <c r="E44" s="36"/>
      <c r="F44" s="36"/>
      <c r="G44" s="36"/>
      <c r="H44" s="36"/>
    </row>
    <row r="45" spans="1:8" ht="12">
      <c r="A45" s="12"/>
      <c r="B45" s="36"/>
      <c r="C45" s="36"/>
      <c r="D45" s="36"/>
      <c r="E45" s="36"/>
      <c r="F45" s="36"/>
      <c r="G45" s="36"/>
      <c r="H45" s="36"/>
    </row>
    <row r="46" spans="1:8" ht="12">
      <c r="A46" s="12"/>
      <c r="B46" s="36"/>
      <c r="C46" s="36"/>
      <c r="D46" s="36"/>
      <c r="E46" s="36"/>
      <c r="F46" s="36"/>
      <c r="G46" s="36"/>
      <c r="H46" s="36"/>
    </row>
    <row r="47" spans="1:8" ht="12">
      <c r="A47" s="12"/>
      <c r="B47" s="36"/>
      <c r="C47" s="36"/>
      <c r="D47" s="36"/>
      <c r="E47" s="36"/>
      <c r="F47" s="36"/>
      <c r="G47" s="36"/>
      <c r="H47" s="36"/>
    </row>
    <row r="48" spans="1:8" ht="12">
      <c r="A48" s="12"/>
      <c r="B48" s="36"/>
      <c r="C48" s="36"/>
      <c r="D48" s="36"/>
      <c r="E48" s="36"/>
      <c r="F48" s="36"/>
      <c r="G48" s="36"/>
      <c r="H48" s="36"/>
    </row>
    <row r="49" spans="1:8" ht="12">
      <c r="A49" s="12"/>
      <c r="B49" s="36"/>
      <c r="C49" s="36"/>
      <c r="D49" s="36"/>
      <c r="E49" s="36"/>
      <c r="F49" s="36"/>
      <c r="G49" s="36"/>
      <c r="H49" s="36"/>
    </row>
    <row r="50" spans="1:8" ht="12">
      <c r="A50" s="12"/>
      <c r="B50" s="36"/>
      <c r="C50" s="36"/>
      <c r="D50" s="36"/>
      <c r="E50" s="36"/>
      <c r="F50" s="36"/>
      <c r="G50" s="36"/>
      <c r="H50" s="36"/>
    </row>
    <row r="51" spans="1:8" ht="12">
      <c r="A51" s="12"/>
      <c r="B51" s="36"/>
      <c r="C51" s="36"/>
      <c r="D51" s="36"/>
      <c r="E51" s="36"/>
      <c r="F51" s="36"/>
      <c r="G51" s="36"/>
      <c r="H51" s="36"/>
    </row>
    <row r="52" spans="1:8" ht="12">
      <c r="A52" s="12"/>
      <c r="B52" s="36"/>
      <c r="C52" s="36"/>
      <c r="D52" s="36"/>
      <c r="E52" s="36"/>
      <c r="F52" s="36"/>
      <c r="G52" s="36"/>
      <c r="H52" s="36"/>
    </row>
    <row r="53" spans="1:8" ht="12">
      <c r="A53" s="12"/>
      <c r="B53" s="36"/>
      <c r="C53" s="36"/>
      <c r="D53" s="36"/>
      <c r="E53" s="36"/>
      <c r="F53" s="36"/>
      <c r="G53" s="36"/>
      <c r="H53" s="36"/>
    </row>
    <row r="54" spans="1:8" ht="12">
      <c r="A54" s="12"/>
      <c r="B54" s="36"/>
      <c r="C54" s="36"/>
      <c r="D54" s="36"/>
      <c r="E54" s="36"/>
      <c r="F54" s="36"/>
      <c r="G54" s="36"/>
      <c r="H54" s="36"/>
    </row>
    <row r="55" spans="1:8" ht="12">
      <c r="A55" s="12"/>
      <c r="B55" s="36"/>
      <c r="C55" s="36"/>
      <c r="D55" s="36"/>
      <c r="E55" s="36"/>
      <c r="F55" s="36"/>
      <c r="G55" s="36"/>
      <c r="H55" s="36"/>
    </row>
    <row r="56" spans="1:8" ht="12">
      <c r="A56" s="12"/>
      <c r="B56" s="36"/>
      <c r="C56" s="36"/>
      <c r="D56" s="36"/>
      <c r="E56" s="36"/>
      <c r="F56" s="36"/>
      <c r="G56" s="36"/>
      <c r="H56" s="36"/>
    </row>
    <row r="57" spans="1:8" ht="12">
      <c r="A57" s="12"/>
      <c r="B57" s="36"/>
      <c r="C57" s="36"/>
      <c r="D57" s="36"/>
      <c r="E57" s="36"/>
      <c r="F57" s="36"/>
      <c r="G57" s="36"/>
      <c r="H57" s="36"/>
    </row>
    <row r="58" spans="1:8" ht="12">
      <c r="A58" s="12"/>
      <c r="B58" s="36"/>
      <c r="C58" s="36"/>
      <c r="D58" s="36"/>
      <c r="E58" s="36"/>
      <c r="F58" s="36"/>
      <c r="G58" s="36"/>
      <c r="H58" s="36"/>
    </row>
    <row r="59" spans="1:8" ht="12">
      <c r="A59" s="12"/>
      <c r="B59" s="36"/>
      <c r="C59" s="36"/>
      <c r="D59" s="36"/>
      <c r="E59" s="36"/>
      <c r="F59" s="36"/>
      <c r="G59" s="36"/>
      <c r="H59" s="36"/>
    </row>
    <row r="60" spans="1:8" ht="12">
      <c r="A60" s="12"/>
      <c r="B60" s="36"/>
      <c r="C60" s="36"/>
      <c r="D60" s="36"/>
      <c r="E60" s="36"/>
      <c r="F60" s="36"/>
      <c r="G60" s="36"/>
      <c r="H60" s="36"/>
    </row>
    <row r="61" spans="1:8" ht="12">
      <c r="A61" s="12"/>
      <c r="B61" s="36"/>
      <c r="C61" s="36"/>
      <c r="D61" s="36"/>
      <c r="E61" s="36"/>
      <c r="F61" s="36"/>
      <c r="G61" s="36"/>
      <c r="H61" s="36"/>
    </row>
    <row r="62" spans="1:8" ht="12">
      <c r="A62" s="12"/>
      <c r="B62" s="36"/>
      <c r="C62" s="36"/>
      <c r="D62" s="36"/>
      <c r="E62" s="36"/>
      <c r="F62" s="36"/>
      <c r="G62" s="36"/>
      <c r="H62" s="36"/>
    </row>
    <row r="63" spans="1:8" ht="12">
      <c r="A63" s="12"/>
      <c r="B63" s="36"/>
      <c r="C63" s="36"/>
      <c r="D63" s="36"/>
      <c r="E63" s="36"/>
      <c r="F63" s="36"/>
      <c r="G63" s="36"/>
      <c r="H63" s="36"/>
    </row>
    <row r="64" spans="1:8" ht="12">
      <c r="A64" s="12"/>
      <c r="B64" s="36"/>
      <c r="C64" s="36"/>
      <c r="D64" s="36"/>
      <c r="E64" s="36"/>
      <c r="F64" s="36"/>
      <c r="G64" s="36"/>
      <c r="H64" s="36"/>
    </row>
    <row r="65" spans="1:8" ht="12">
      <c r="A65" s="12"/>
      <c r="B65" s="36"/>
      <c r="C65" s="36"/>
      <c r="D65" s="36"/>
      <c r="E65" s="36"/>
      <c r="F65" s="36"/>
      <c r="G65" s="36"/>
      <c r="H65" s="36"/>
    </row>
    <row r="66" spans="1:8" ht="12">
      <c r="A66" s="12"/>
      <c r="B66" s="36"/>
      <c r="C66" s="36"/>
      <c r="D66" s="36"/>
      <c r="E66" s="36"/>
      <c r="F66" s="36"/>
      <c r="G66" s="36"/>
      <c r="H66" s="36"/>
    </row>
    <row r="67" spans="1:8" ht="12">
      <c r="A67" s="12"/>
      <c r="B67" s="36"/>
      <c r="C67" s="36"/>
      <c r="D67" s="36"/>
      <c r="E67" s="36"/>
      <c r="F67" s="36"/>
      <c r="G67" s="36"/>
      <c r="H67" s="36"/>
    </row>
    <row r="68" spans="1:8" ht="12">
      <c r="A68" s="12"/>
      <c r="B68" s="36"/>
      <c r="C68" s="36"/>
      <c r="D68" s="36"/>
      <c r="E68" s="36"/>
      <c r="F68" s="36"/>
      <c r="G68" s="36"/>
      <c r="H68" s="36"/>
    </row>
    <row r="69" spans="1:8" ht="12">
      <c r="A69" s="12"/>
      <c r="B69" s="36"/>
      <c r="C69" s="36"/>
      <c r="D69" s="36"/>
      <c r="E69" s="36"/>
      <c r="F69" s="36"/>
      <c r="G69" s="36"/>
      <c r="H69" s="36"/>
    </row>
    <row r="70" spans="1:8" ht="12">
      <c r="A70" s="12"/>
      <c r="B70" s="36"/>
      <c r="C70" s="36"/>
      <c r="D70" s="36"/>
      <c r="E70" s="36"/>
      <c r="F70" s="36"/>
      <c r="G70" s="36"/>
      <c r="H70" s="36"/>
    </row>
    <row r="71" spans="1:8" ht="12">
      <c r="A71" s="12"/>
      <c r="B71" s="36"/>
      <c r="C71" s="36"/>
      <c r="D71" s="36"/>
      <c r="E71" s="36"/>
      <c r="F71" s="36"/>
      <c r="G71" s="36"/>
      <c r="H71" s="36"/>
    </row>
    <row r="72" spans="1:8" ht="12">
      <c r="A72" s="12"/>
      <c r="B72" s="36"/>
      <c r="C72" s="36"/>
      <c r="D72" s="36"/>
      <c r="E72" s="36"/>
      <c r="F72" s="36"/>
      <c r="G72" s="36"/>
      <c r="H72" s="36"/>
    </row>
    <row r="73" spans="1:8" ht="12">
      <c r="A73" s="12"/>
      <c r="B73" s="36"/>
      <c r="C73" s="36"/>
      <c r="D73" s="36"/>
      <c r="E73" s="36"/>
      <c r="F73" s="36"/>
      <c r="G73" s="36"/>
      <c r="H73" s="36"/>
    </row>
    <row r="74" spans="1:8" ht="12">
      <c r="A74" s="12"/>
      <c r="B74" s="36"/>
      <c r="C74" s="36"/>
      <c r="D74" s="36"/>
      <c r="E74" s="36"/>
      <c r="F74" s="36"/>
      <c r="G74" s="36"/>
      <c r="H74" s="36"/>
    </row>
    <row r="75" spans="1:8" ht="12">
      <c r="A75" s="12"/>
      <c r="B75" s="36"/>
      <c r="C75" s="36"/>
      <c r="D75" s="36"/>
      <c r="E75" s="36"/>
      <c r="F75" s="36"/>
      <c r="G75" s="36"/>
      <c r="H75" s="36"/>
    </row>
    <row r="76" spans="1:8" ht="12">
      <c r="A76" s="12"/>
      <c r="B76" s="36"/>
      <c r="C76" s="36"/>
      <c r="D76" s="36"/>
      <c r="E76" s="36"/>
      <c r="F76" s="36"/>
      <c r="G76" s="36"/>
      <c r="H76" s="36"/>
    </row>
    <row r="77" spans="1:8" ht="12">
      <c r="A77" s="12"/>
      <c r="B77" s="36"/>
      <c r="C77" s="36"/>
      <c r="D77" s="36"/>
      <c r="E77" s="36"/>
      <c r="F77" s="36"/>
      <c r="G77" s="36"/>
      <c r="H77" s="36"/>
    </row>
    <row r="78" spans="1:8" ht="12">
      <c r="A78" s="12"/>
      <c r="B78" s="36"/>
      <c r="C78" s="36"/>
      <c r="D78" s="36"/>
      <c r="E78" s="36"/>
      <c r="F78" s="36"/>
      <c r="G78" s="36"/>
      <c r="H78" s="36"/>
    </row>
    <row r="79" spans="1:8" ht="12">
      <c r="A79" s="12"/>
      <c r="B79" s="36"/>
      <c r="C79" s="36"/>
      <c r="D79" s="36"/>
      <c r="E79" s="36"/>
      <c r="F79" s="36"/>
      <c r="G79" s="36"/>
      <c r="H79" s="36"/>
    </row>
    <row r="80" spans="1:8" ht="12">
      <c r="A80" s="12"/>
      <c r="B80" s="36"/>
      <c r="C80" s="36"/>
      <c r="D80" s="36"/>
      <c r="E80" s="36"/>
      <c r="F80" s="36"/>
      <c r="G80" s="36"/>
      <c r="H80" s="36"/>
    </row>
    <row r="81" spans="1:8" ht="12">
      <c r="A81" s="12"/>
      <c r="B81" s="36"/>
      <c r="C81" s="36"/>
      <c r="D81" s="36"/>
      <c r="E81" s="36"/>
      <c r="F81" s="36"/>
      <c r="G81" s="36"/>
      <c r="H81" s="36"/>
    </row>
    <row r="82" spans="1:8" ht="12">
      <c r="A82" s="12"/>
      <c r="B82" s="36"/>
      <c r="C82" s="36"/>
      <c r="D82" s="36"/>
      <c r="E82" s="36"/>
      <c r="F82" s="36"/>
      <c r="G82" s="36"/>
      <c r="H82" s="36"/>
    </row>
    <row r="83" spans="1:8" ht="12">
      <c r="A83" s="12"/>
      <c r="B83" s="36"/>
      <c r="C83" s="36"/>
      <c r="D83" s="36"/>
      <c r="E83" s="36"/>
      <c r="F83" s="36"/>
      <c r="G83" s="36"/>
      <c r="H83" s="36"/>
    </row>
    <row r="84" spans="1:8" ht="12">
      <c r="A84" s="12"/>
      <c r="B84" s="36"/>
      <c r="C84" s="36"/>
      <c r="D84" s="36"/>
      <c r="E84" s="36"/>
      <c r="F84" s="36"/>
      <c r="G84" s="36"/>
      <c r="H84" s="36"/>
    </row>
    <row r="85" spans="1:8" ht="12">
      <c r="A85" s="12"/>
      <c r="B85" s="36"/>
      <c r="C85" s="36"/>
      <c r="D85" s="36"/>
      <c r="E85" s="36"/>
      <c r="F85" s="36"/>
      <c r="G85" s="36"/>
      <c r="H85" s="36"/>
    </row>
    <row r="86" spans="1:8" ht="12">
      <c r="A86" s="12"/>
      <c r="B86" s="36"/>
      <c r="C86" s="36"/>
      <c r="D86" s="36"/>
      <c r="E86" s="36"/>
      <c r="F86" s="36"/>
      <c r="G86" s="36"/>
      <c r="H86" s="36"/>
    </row>
  </sheetData>
  <mergeCells count="1">
    <mergeCell ref="A1:A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0"/>
  <sheetViews>
    <sheetView showGridLines="0" zoomScale="90" zoomScaleNormal="90" workbookViewId="0">
      <selection activeCell="M11" sqref="M11"/>
    </sheetView>
  </sheetViews>
  <sheetFormatPr defaultColWidth="9" defaultRowHeight="16.5"/>
  <cols>
    <col min="1" max="16384" width="9" style="3"/>
  </cols>
  <sheetData>
    <row r="1" spans="1:13">
      <c r="A1" s="176"/>
      <c r="B1" s="176"/>
      <c r="C1" s="176"/>
      <c r="D1" s="176"/>
      <c r="E1" s="176"/>
      <c r="F1" s="176"/>
      <c r="G1" s="176"/>
      <c r="H1" s="176"/>
      <c r="I1" s="2"/>
      <c r="J1" s="2"/>
      <c r="K1" s="2"/>
    </row>
    <row r="2" spans="1:13" s="8" customFormat="1" ht="26.25">
      <c r="A2" s="176"/>
      <c r="B2" s="176"/>
      <c r="C2" s="176"/>
      <c r="D2" s="177" t="s">
        <v>0</v>
      </c>
      <c r="E2" s="177"/>
      <c r="F2" s="177"/>
      <c r="G2" s="177"/>
      <c r="H2" s="177"/>
      <c r="I2" s="177"/>
      <c r="J2" s="9"/>
      <c r="K2" s="9"/>
    </row>
    <row r="3" spans="1:13" ht="17.25">
      <c r="A3" s="176"/>
      <c r="B3" s="176"/>
      <c r="C3" s="176"/>
      <c r="D3" s="178" t="str">
        <f>Menu!D3</f>
        <v>2022 - 2026</v>
      </c>
      <c r="E3" s="178"/>
      <c r="F3" s="178"/>
      <c r="G3" s="178"/>
      <c r="H3" s="178"/>
      <c r="I3" s="178"/>
      <c r="J3" s="7"/>
      <c r="K3" s="7"/>
    </row>
    <row r="4" spans="1:13">
      <c r="A4" s="176"/>
      <c r="B4" s="176"/>
      <c r="C4" s="176"/>
      <c r="D4" s="2"/>
      <c r="E4" s="2"/>
      <c r="F4" s="2"/>
      <c r="G4" s="2"/>
      <c r="H4" s="2"/>
      <c r="I4" s="2"/>
      <c r="J4" s="2"/>
      <c r="K4" s="2"/>
    </row>
    <row r="5" spans="1:13">
      <c r="A5" s="4"/>
      <c r="B5" s="4"/>
      <c r="C5" s="4"/>
      <c r="D5" s="5"/>
      <c r="E5" s="5"/>
      <c r="F5" s="5"/>
      <c r="G5" s="5"/>
      <c r="H5" s="5"/>
      <c r="I5" s="5"/>
      <c r="J5" s="5"/>
      <c r="K5" s="5"/>
    </row>
    <row r="8" spans="1:13" ht="20.25">
      <c r="B8" s="6"/>
    </row>
    <row r="9" spans="1:13">
      <c r="M9" s="10"/>
    </row>
    <row r="10" spans="1:13">
      <c r="M10" s="10"/>
    </row>
    <row r="19" spans="1:11" ht="9.9499999999999993" customHeight="1"/>
    <row r="20" spans="1:11" ht="6.9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4">
    <mergeCell ref="A1:C4"/>
    <mergeCell ref="D1:H1"/>
    <mergeCell ref="D2:I2"/>
    <mergeCell ref="D3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49992370372631"/>
  </sheetPr>
  <dimension ref="A1:AD34"/>
  <sheetViews>
    <sheetView showGridLines="0" zoomScaleNormal="100" zoomScaleSheetLayoutView="100" workbookViewId="0">
      <pane xSplit="1" ySplit="6" topLeftCell="R7" activePane="bottomRight" state="frozen"/>
      <selection pane="topRight" activeCell="B1" sqref="B1"/>
      <selection pane="bottomLeft" activeCell="A7" sqref="A7"/>
      <selection pane="bottomRight" activeCell="R7" sqref="R7"/>
    </sheetView>
  </sheetViews>
  <sheetFormatPr defaultColWidth="9" defaultRowHeight="16.5"/>
  <cols>
    <col min="1" max="1" width="38.125" style="111" customWidth="1"/>
    <col min="2" max="2" width="9.375" style="11" hidden="1" customWidth="1"/>
    <col min="3" max="5" width="9.375" style="111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 collapsed="1"/>
    <col min="16" max="17" width="9" style="12" hidden="1" customWidth="1"/>
    <col min="18" max="16384" width="9" style="12"/>
  </cols>
  <sheetData>
    <row r="1" spans="1:30" ht="18" customHeight="1">
      <c r="A1" s="179"/>
      <c r="C1" s="159"/>
      <c r="D1" s="159"/>
      <c r="E1" s="159"/>
    </row>
    <row r="2" spans="1:30" ht="17.45" customHeight="1">
      <c r="A2" s="179"/>
      <c r="B2" s="180" t="s">
        <v>1</v>
      </c>
      <c r="C2" s="180"/>
      <c r="D2" s="180"/>
      <c r="E2" s="180"/>
    </row>
    <row r="3" spans="1:30" ht="4.5" customHeight="1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</row>
    <row r="4" spans="1:30" ht="16.5" customHeight="1">
      <c r="A4" s="29" t="s">
        <v>34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57</v>
      </c>
      <c r="S4" s="34" t="s">
        <v>58</v>
      </c>
      <c r="T4" s="34" t="s">
        <v>59</v>
      </c>
      <c r="U4" s="34" t="s">
        <v>60</v>
      </c>
      <c r="V4" s="34" t="s">
        <v>61</v>
      </c>
      <c r="W4" s="34" t="s">
        <v>62</v>
      </c>
      <c r="X4" s="34" t="s">
        <v>63</v>
      </c>
      <c r="Y4" s="34" t="s">
        <v>64</v>
      </c>
      <c r="Z4" s="34" t="s">
        <v>65</v>
      </c>
      <c r="AA4" s="34" t="s">
        <v>66</v>
      </c>
      <c r="AB4" s="34" t="s">
        <v>67</v>
      </c>
      <c r="AC4" s="34" t="s">
        <v>209</v>
      </c>
      <c r="AD4" s="34" t="s">
        <v>211</v>
      </c>
    </row>
    <row r="5" spans="1:30" ht="16.5" customHeight="1">
      <c r="A5" s="25" t="s">
        <v>35</v>
      </c>
      <c r="B5" s="12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0" ht="6.6" customHeight="1">
      <c r="A6" s="29"/>
      <c r="B6" s="27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 ht="14.25">
      <c r="A7" s="96" t="s">
        <v>36</v>
      </c>
      <c r="B7" s="118">
        <v>4753.3329111875601</v>
      </c>
      <c r="C7" s="118">
        <v>4731.6354623742327</v>
      </c>
      <c r="D7" s="118">
        <v>4865.3242552553975</v>
      </c>
      <c r="E7" s="118">
        <v>5040.1361467927763</v>
      </c>
      <c r="F7" s="118">
        <v>3226.5</v>
      </c>
      <c r="G7" s="118">
        <v>245.2</v>
      </c>
      <c r="H7" s="118">
        <v>1042</v>
      </c>
      <c r="I7" s="118">
        <v>2471.9</v>
      </c>
      <c r="J7" s="118">
        <v>1332.9</v>
      </c>
      <c r="K7" s="118">
        <v>1671.6</v>
      </c>
      <c r="L7" s="118">
        <v>2918.4</v>
      </c>
      <c r="M7" s="118">
        <v>3044.2</v>
      </c>
      <c r="N7" s="118">
        <v>2806.3</v>
      </c>
      <c r="O7" s="118">
        <v>3750.2</v>
      </c>
      <c r="P7" s="118">
        <v>3930.5</v>
      </c>
      <c r="Q7" s="118">
        <v>3455.4</v>
      </c>
      <c r="R7" s="118">
        <v>4036.3</v>
      </c>
      <c r="S7" s="118">
        <v>3824.0846726074842</v>
      </c>
      <c r="T7" s="118">
        <v>3760.5721141708991</v>
      </c>
      <c r="U7" s="118">
        <v>3769.5224766994156</v>
      </c>
      <c r="V7" s="118">
        <v>3173.4092222979598</v>
      </c>
      <c r="W7" s="118">
        <v>3546.5645507962045</v>
      </c>
      <c r="X7" s="118">
        <v>3684.4205997266854</v>
      </c>
      <c r="Y7" s="118">
        <v>4030.5722019798645</v>
      </c>
      <c r="Z7" s="118">
        <v>4119.8999999999996</v>
      </c>
      <c r="AA7" s="118">
        <v>4083.5807735701887</v>
      </c>
      <c r="AB7" s="118">
        <v>4252.6757428365718</v>
      </c>
      <c r="AC7" s="118">
        <v>4300.3292438279423</v>
      </c>
      <c r="AD7" s="118">
        <v>4277.1536710369455</v>
      </c>
    </row>
    <row r="8" spans="1:30" ht="14.25">
      <c r="A8" s="97" t="s">
        <v>37</v>
      </c>
      <c r="B8" s="113">
        <v>4920.0121083573667</v>
      </c>
      <c r="C8" s="113">
        <v>4377.2896485048759</v>
      </c>
      <c r="D8" s="113">
        <v>4879.2695665124256</v>
      </c>
      <c r="E8" s="113">
        <v>5242.9935576523349</v>
      </c>
      <c r="F8" s="113">
        <v>3989.7</v>
      </c>
      <c r="G8" s="113">
        <v>210.9</v>
      </c>
      <c r="H8" s="113">
        <v>654.70000000000005</v>
      </c>
      <c r="I8" s="113">
        <v>2362.5</v>
      </c>
      <c r="J8" s="113">
        <v>1380.7</v>
      </c>
      <c r="K8" s="113">
        <v>1393.1</v>
      </c>
      <c r="L8" s="113">
        <v>2597.9</v>
      </c>
      <c r="M8" s="113">
        <v>3444.6</v>
      </c>
      <c r="N8" s="113">
        <v>3006.7</v>
      </c>
      <c r="O8" s="113">
        <v>3533</v>
      </c>
      <c r="P8" s="113">
        <v>4195.5</v>
      </c>
      <c r="Q8" s="113">
        <v>3693.6</v>
      </c>
      <c r="R8" s="113">
        <v>3988.3</v>
      </c>
      <c r="S8" s="113">
        <v>3603.9007520354949</v>
      </c>
      <c r="T8" s="113">
        <v>3905.4292727803518</v>
      </c>
      <c r="U8" s="113">
        <v>3752.7802018346874</v>
      </c>
      <c r="V8" s="113">
        <v>3325.4983869407151</v>
      </c>
      <c r="W8" s="113">
        <v>3253.8839268772622</v>
      </c>
      <c r="X8" s="113">
        <v>3865.8113383116906</v>
      </c>
      <c r="Y8" s="113">
        <v>3956.8541836400514</v>
      </c>
      <c r="Z8" s="113">
        <v>4157.6000000000004</v>
      </c>
      <c r="AA8" s="113">
        <v>3828.7807284966038</v>
      </c>
      <c r="AB8" s="113">
        <v>4398.5858297133473</v>
      </c>
      <c r="AC8" s="113">
        <v>4235.5422440458051</v>
      </c>
      <c r="AD8" s="113">
        <v>4390.0054917108555</v>
      </c>
    </row>
    <row r="9" spans="1:30" ht="14.25">
      <c r="A9" s="96" t="s">
        <v>18</v>
      </c>
      <c r="B9" s="120">
        <v>0.10148895708713727</v>
      </c>
      <c r="C9" s="120">
        <v>9.4151459358704198E-2</v>
      </c>
      <c r="D9" s="120" t="e">
        <v>#DIV/0!</v>
      </c>
      <c r="E9" s="120" t="e">
        <v>#DIV/0!</v>
      </c>
      <c r="F9" s="120">
        <v>7.2999999999999995E-2</v>
      </c>
      <c r="G9" s="120">
        <v>1.4E-2</v>
      </c>
      <c r="H9" s="120">
        <v>9.5000000000000001E-2</v>
      </c>
      <c r="I9" s="120">
        <v>6.9000000000000006E-2</v>
      </c>
      <c r="J9" s="120">
        <v>0.12</v>
      </c>
      <c r="K9" s="120">
        <v>8.3000000000000004E-2</v>
      </c>
      <c r="L9" s="120">
        <v>8.8999999999999996E-2</v>
      </c>
      <c r="M9" s="120">
        <v>9.0999999999999998E-2</v>
      </c>
      <c r="N9" s="120">
        <v>9.7000000000000003E-2</v>
      </c>
      <c r="O9" s="120">
        <v>7.5999999999999998E-2</v>
      </c>
      <c r="P9" s="120">
        <v>0.08</v>
      </c>
      <c r="Q9" s="120">
        <v>8.6999999999999994E-2</v>
      </c>
      <c r="R9" s="120">
        <v>7.4081018603744081E-2</v>
      </c>
      <c r="S9" s="120">
        <v>7.473999032818171E-2</v>
      </c>
      <c r="T9" s="120">
        <v>9.6234901882737617E-2</v>
      </c>
      <c r="U9" s="120">
        <v>9.3862755148531776E-2</v>
      </c>
      <c r="V9" s="120">
        <v>9.5430537702402049E-2</v>
      </c>
      <c r="W9" s="120">
        <v>9.0360436911621309E-2</v>
      </c>
      <c r="X9" s="120">
        <v>9.411051082465359E-2</v>
      </c>
      <c r="Y9" s="120">
        <v>9.2601686413749898E-2</v>
      </c>
      <c r="Z9" s="120">
        <v>8.6999999999999994E-2</v>
      </c>
      <c r="AA9" s="120">
        <v>8.9273517680935652E-2</v>
      </c>
      <c r="AB9" s="120">
        <v>8.5661371637574937E-2</v>
      </c>
      <c r="AC9" s="120">
        <v>8.549451456160756E-2</v>
      </c>
      <c r="AD9" s="120">
        <v>8.317121436857354E-2</v>
      </c>
    </row>
    <row r="10" spans="1:30" ht="14.25">
      <c r="A10" s="97" t="s">
        <v>40</v>
      </c>
      <c r="B10" s="104">
        <v>-0.8</v>
      </c>
      <c r="C10" s="157">
        <v>2.2000000000000002</v>
      </c>
      <c r="D10" s="97"/>
      <c r="E10" s="97"/>
      <c r="F10" s="104">
        <v>-735.7</v>
      </c>
      <c r="G10" s="104">
        <v>-28</v>
      </c>
      <c r="H10" s="104">
        <v>-11.1</v>
      </c>
      <c r="I10" s="104">
        <v>-2.6</v>
      </c>
      <c r="J10" s="104">
        <v>0.7</v>
      </c>
      <c r="K10" s="104">
        <v>0.1</v>
      </c>
      <c r="L10" s="104">
        <v>6.4</v>
      </c>
      <c r="M10" s="104">
        <v>-53.4</v>
      </c>
      <c r="N10" s="104">
        <v>12.5</v>
      </c>
      <c r="O10" s="104">
        <v>11</v>
      </c>
      <c r="P10" s="104">
        <v>-24.5</v>
      </c>
      <c r="Q10" s="104">
        <v>75.599999999999994</v>
      </c>
      <c r="R10" s="104">
        <v>-11.5</v>
      </c>
      <c r="S10" s="104">
        <v>14.798634510000005</v>
      </c>
      <c r="T10" s="104">
        <v>-77.105058830000019</v>
      </c>
      <c r="U10" s="104">
        <v>-32.258236841215279</v>
      </c>
      <c r="V10" s="104">
        <v>3.2</v>
      </c>
      <c r="W10" s="104">
        <v>11.599712909999999</v>
      </c>
      <c r="X10" s="104">
        <v>8.9193823299999995</v>
      </c>
      <c r="Y10" s="104">
        <v>25.484216930278265</v>
      </c>
      <c r="Z10" s="104">
        <v>4.5</v>
      </c>
      <c r="AA10" s="104">
        <v>5.3240813099997322</v>
      </c>
      <c r="AB10" s="104">
        <v>-12.963203570000204</v>
      </c>
      <c r="AC10" s="104">
        <v>-40.408018741088803</v>
      </c>
      <c r="AD10" s="104">
        <v>11.271411585720379</v>
      </c>
    </row>
    <row r="11" spans="1:30" ht="14.25">
      <c r="A11" s="97" t="s">
        <v>41</v>
      </c>
      <c r="B11" s="104">
        <v>0</v>
      </c>
      <c r="C11" s="157">
        <v>0</v>
      </c>
      <c r="D11" s="97">
        <v>0</v>
      </c>
      <c r="E11" s="97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0</v>
      </c>
      <c r="N11" s="104">
        <v>792.93</v>
      </c>
      <c r="O11" s="104">
        <v>539.529</v>
      </c>
      <c r="P11" s="104">
        <v>647.85699999999997</v>
      </c>
      <c r="Q11" s="104">
        <v>1012.439</v>
      </c>
      <c r="R11" s="104">
        <v>1052.2329999999999</v>
      </c>
      <c r="S11" s="104">
        <v>1051.81</v>
      </c>
      <c r="T11" s="104">
        <v>792.91399999999999</v>
      </c>
      <c r="U11" s="104">
        <v>813.45600000000002</v>
      </c>
      <c r="V11" s="104">
        <v>846.43600000000004</v>
      </c>
      <c r="W11" s="104">
        <v>778.60837803000004</v>
      </c>
      <c r="X11" s="104">
        <v>806.59959127000002</v>
      </c>
      <c r="Y11" s="104">
        <v>1063.97</v>
      </c>
      <c r="Z11" s="104">
        <v>1115.9949999999999</v>
      </c>
      <c r="AA11" s="104">
        <v>1051.60996875</v>
      </c>
      <c r="AB11" s="104">
        <v>1120.3858881399999</v>
      </c>
      <c r="AC11" s="104">
        <v>1166.4495486400001</v>
      </c>
      <c r="AD11" s="104">
        <v>1282.585</v>
      </c>
    </row>
    <row r="12" spans="1:30" ht="7.5" customHeight="1">
      <c r="A12" s="122"/>
      <c r="B12" s="107"/>
      <c r="C12" s="123"/>
      <c r="D12" s="123"/>
      <c r="E12" s="123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</row>
    <row r="13" spans="1:30" ht="17.25">
      <c r="A13" s="29" t="s">
        <v>42</v>
      </c>
      <c r="B13" s="107"/>
      <c r="C13" s="29"/>
      <c r="D13" s="29"/>
      <c r="E13" s="29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</row>
    <row r="14" spans="1:30" ht="5.45" customHeight="1">
      <c r="A14" s="29"/>
      <c r="B14" s="107"/>
      <c r="C14" s="29"/>
      <c r="D14" s="29"/>
      <c r="E14" s="29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</row>
    <row r="15" spans="1:30" ht="14.25">
      <c r="A15" s="125" t="s">
        <v>43</v>
      </c>
      <c r="B15" s="126">
        <f>SUM(B16:B21)</f>
        <v>-52.977999999999994</v>
      </c>
      <c r="C15" s="126">
        <f t="shared" ref="C15:AD15" si="0">SUM(C16:C21)</f>
        <v>-63.138000000000005</v>
      </c>
      <c r="D15" s="126">
        <f t="shared" si="0"/>
        <v>-75.405000000000001</v>
      </c>
      <c r="E15" s="126">
        <f t="shared" si="0"/>
        <v>-69.790000000000006</v>
      </c>
      <c r="F15" s="126">
        <f t="shared" si="0"/>
        <v>-82.205999999999989</v>
      </c>
      <c r="G15" s="126">
        <f t="shared" si="0"/>
        <v>-15.891999999999999</v>
      </c>
      <c r="H15" s="126">
        <f t="shared" si="0"/>
        <v>-21.148</v>
      </c>
      <c r="I15" s="126">
        <f t="shared" si="0"/>
        <v>-78.531999999999996</v>
      </c>
      <c r="J15" s="126">
        <f t="shared" si="0"/>
        <v>-38.245000000000005</v>
      </c>
      <c r="K15" s="126">
        <f t="shared" si="0"/>
        <v>-38.744</v>
      </c>
      <c r="L15" s="126">
        <f t="shared" si="0"/>
        <v>-47.621000000000002</v>
      </c>
      <c r="M15" s="126">
        <f t="shared" si="0"/>
        <v>-81.122000000000014</v>
      </c>
      <c r="N15" s="126">
        <f t="shared" si="0"/>
        <v>-91.790999999999997</v>
      </c>
      <c r="O15" s="126">
        <f t="shared" si="0"/>
        <v>-69.228999999999999</v>
      </c>
      <c r="P15" s="126">
        <f t="shared" si="0"/>
        <v>-97.028999999999996</v>
      </c>
      <c r="Q15" s="126">
        <f t="shared" si="0"/>
        <v>-117.41200000000001</v>
      </c>
      <c r="R15" s="126">
        <f t="shared" si="0"/>
        <v>-105.18099999999998</v>
      </c>
      <c r="S15" s="126">
        <f t="shared" si="0"/>
        <v>-116.24199999999999</v>
      </c>
      <c r="T15" s="126">
        <f t="shared" si="0"/>
        <v>-96.986000000000004</v>
      </c>
      <c r="U15" s="126">
        <f t="shared" si="0"/>
        <v>-76.757000000000005</v>
      </c>
      <c r="V15" s="126">
        <f t="shared" si="0"/>
        <v>-80.816000000000017</v>
      </c>
      <c r="W15" s="126">
        <f t="shared" si="0"/>
        <v>-62.255340785408997</v>
      </c>
      <c r="X15" s="126">
        <f t="shared" si="0"/>
        <v>-76.595168374285507</v>
      </c>
      <c r="Y15" s="126">
        <f t="shared" si="0"/>
        <v>-106.77602030956889</v>
      </c>
      <c r="Z15" s="126">
        <f t="shared" si="0"/>
        <v>-93.2</v>
      </c>
      <c r="AA15" s="126">
        <f t="shared" si="0"/>
        <v>-91.48</v>
      </c>
      <c r="AB15" s="126">
        <f t="shared" si="0"/>
        <v>-99.660335141283937</v>
      </c>
      <c r="AC15" s="126">
        <f t="shared" si="0"/>
        <v>-97.75645715941134</v>
      </c>
      <c r="AD15" s="126">
        <f t="shared" si="0"/>
        <v>-96.625829701849113</v>
      </c>
    </row>
    <row r="16" spans="1:30" ht="14.25">
      <c r="A16" s="112" t="s">
        <v>44</v>
      </c>
      <c r="B16" s="108">
        <v>-24.678999999999998</v>
      </c>
      <c r="C16" s="108">
        <v>-32.74</v>
      </c>
      <c r="D16" s="108">
        <v>-35.542999999999999</v>
      </c>
      <c r="E16" s="108">
        <v>-38.247</v>
      </c>
      <c r="F16" s="108">
        <v>-37.963000000000001</v>
      </c>
      <c r="G16" s="108">
        <v>-16.295000000000002</v>
      </c>
      <c r="H16" s="108">
        <v>-22.291</v>
      </c>
      <c r="I16" s="108">
        <v>-40.829000000000001</v>
      </c>
      <c r="J16" s="108">
        <v>-22.396000000000001</v>
      </c>
      <c r="K16" s="108">
        <v>-25.966999999999999</v>
      </c>
      <c r="L16" s="108">
        <v>-31.847999999999999</v>
      </c>
      <c r="M16" s="108">
        <v>-35.307000000000002</v>
      </c>
      <c r="N16" s="108">
        <v>-45.192</v>
      </c>
      <c r="O16" s="108">
        <v>-48.95</v>
      </c>
      <c r="P16" s="108">
        <v>-50.073</v>
      </c>
      <c r="Q16" s="108">
        <v>-53.898000000000003</v>
      </c>
      <c r="R16" s="108">
        <v>-49.850999999999999</v>
      </c>
      <c r="S16" s="108">
        <v>-43.365000000000002</v>
      </c>
      <c r="T16" s="108">
        <v>-32.929000000000002</v>
      </c>
      <c r="U16" s="108">
        <v>-37.960999999999999</v>
      </c>
      <c r="V16" s="108">
        <v>-38.255000000000003</v>
      </c>
      <c r="W16" s="108">
        <v>-34.833582878549002</v>
      </c>
      <c r="X16" s="108">
        <v>-33.053215660086003</v>
      </c>
      <c r="Y16" s="108">
        <v>-39.451201461364995</v>
      </c>
      <c r="Z16" s="108">
        <v>-27.7</v>
      </c>
      <c r="AA16" s="108">
        <v>-27.245000000000001</v>
      </c>
      <c r="AB16" s="108">
        <v>-34.846878227777985</v>
      </c>
      <c r="AC16" s="108">
        <v>-31.516635759411351</v>
      </c>
      <c r="AD16" s="108">
        <v>-31.558341419363309</v>
      </c>
    </row>
    <row r="17" spans="1:30" ht="14.25">
      <c r="A17" s="112" t="s">
        <v>45</v>
      </c>
      <c r="B17" s="108">
        <v>-3.4750000000000001</v>
      </c>
      <c r="C17" s="108">
        <v>-2.6509999999999998</v>
      </c>
      <c r="D17" s="108">
        <v>-4.1020000000000003</v>
      </c>
      <c r="E17" s="108">
        <v>-2.3809999999999998</v>
      </c>
      <c r="F17" s="108">
        <v>-1.827</v>
      </c>
      <c r="G17" s="108">
        <v>-1.2430000000000001</v>
      </c>
      <c r="H17" s="108">
        <v>-0.73299999999999998</v>
      </c>
      <c r="I17" s="108">
        <v>-0.81699999999999995</v>
      </c>
      <c r="J17" s="108">
        <v>-1.2889999999999999</v>
      </c>
      <c r="K17" s="108">
        <v>-0.89300000000000002</v>
      </c>
      <c r="L17" s="108">
        <v>-1.6879999999999999</v>
      </c>
      <c r="M17" s="108">
        <v>-2.1349999999999998</v>
      </c>
      <c r="N17" s="108">
        <v>-2.86</v>
      </c>
      <c r="O17" s="108">
        <v>-3.0409999999999999</v>
      </c>
      <c r="P17" s="108">
        <v>-7.9279999999999999</v>
      </c>
      <c r="Q17" s="108">
        <v>0.91</v>
      </c>
      <c r="R17" s="108">
        <v>-3.6720000000000002</v>
      </c>
      <c r="S17" s="108">
        <v>-3.093</v>
      </c>
      <c r="T17" s="108">
        <v>-3.2770000000000001</v>
      </c>
      <c r="U17" s="108">
        <v>-2.956</v>
      </c>
      <c r="V17" s="108">
        <v>-2.746</v>
      </c>
      <c r="W17" s="108">
        <v>-2.3216367900000003</v>
      </c>
      <c r="X17" s="108">
        <v>-2.4694579299999995</v>
      </c>
      <c r="Y17" s="108">
        <v>-2.5719052799999997</v>
      </c>
      <c r="Z17" s="108">
        <v>-3</v>
      </c>
      <c r="AA17" s="108">
        <v>-3.3860000000000001</v>
      </c>
      <c r="AB17" s="108">
        <v>-2.5045747500000006</v>
      </c>
      <c r="AC17" s="108">
        <v>-0.10282140000000072</v>
      </c>
      <c r="AD17" s="108">
        <v>-0.10122266000000001</v>
      </c>
    </row>
    <row r="18" spans="1:30" ht="14.25">
      <c r="A18" s="112" t="s">
        <v>46</v>
      </c>
      <c r="B18" s="108">
        <v>-1.5189999999999999</v>
      </c>
      <c r="C18" s="108">
        <v>-1.899</v>
      </c>
      <c r="D18" s="108">
        <v>-1.587</v>
      </c>
      <c r="E18" s="108">
        <v>-2.9620000000000002</v>
      </c>
      <c r="F18" s="108">
        <v>-1.6319999999999999</v>
      </c>
      <c r="G18" s="108">
        <v>-0.55700000000000005</v>
      </c>
      <c r="H18" s="108">
        <v>-0.26100000000000001</v>
      </c>
      <c r="I18" s="108">
        <v>-0.39</v>
      </c>
      <c r="J18" s="108">
        <v>-0.22</v>
      </c>
      <c r="K18" s="108">
        <v>-0.251</v>
      </c>
      <c r="L18" s="108">
        <v>-0.58399999999999996</v>
      </c>
      <c r="M18" s="108">
        <v>-1.3160000000000001</v>
      </c>
      <c r="N18" s="108">
        <v>-2.0259999999999998</v>
      </c>
      <c r="O18" s="108">
        <v>-2.8029999999999999</v>
      </c>
      <c r="P18" s="108">
        <v>-4.5330000000000004</v>
      </c>
      <c r="Q18" s="108">
        <v>-2.77</v>
      </c>
      <c r="R18" s="108">
        <v>-2.66</v>
      </c>
      <c r="S18" s="108">
        <v>-2.5</v>
      </c>
      <c r="T18" s="108">
        <v>-2.722</v>
      </c>
      <c r="U18" s="108">
        <v>-2.718</v>
      </c>
      <c r="V18" s="108">
        <v>-2.8650000000000002</v>
      </c>
      <c r="W18" s="108">
        <v>-5.7011262068600006</v>
      </c>
      <c r="X18" s="108">
        <v>-7.8543589563960197</v>
      </c>
      <c r="Y18" s="108">
        <v>-9.5395148367439795</v>
      </c>
      <c r="Z18" s="108">
        <v>-10</v>
      </c>
      <c r="AA18" s="108">
        <v>-11.981999999999999</v>
      </c>
      <c r="AB18" s="108">
        <v>-11.196051765495</v>
      </c>
      <c r="AC18" s="108">
        <v>-12.582000000000001</v>
      </c>
      <c r="AD18" s="108">
        <v>-11.435818275286</v>
      </c>
    </row>
    <row r="19" spans="1:30" ht="14.25">
      <c r="A19" s="112" t="s">
        <v>47</v>
      </c>
      <c r="B19" s="108">
        <v>0</v>
      </c>
      <c r="C19" s="108">
        <v>0</v>
      </c>
      <c r="D19" s="108">
        <v>0</v>
      </c>
      <c r="E19" s="108">
        <v>0</v>
      </c>
      <c r="F19" s="108">
        <v>0</v>
      </c>
      <c r="G19" s="108">
        <v>0</v>
      </c>
      <c r="H19" s="108">
        <v>0</v>
      </c>
      <c r="I19" s="108">
        <v>0</v>
      </c>
      <c r="J19" s="108">
        <v>0</v>
      </c>
      <c r="K19" s="108">
        <v>0</v>
      </c>
      <c r="L19" s="108">
        <v>0</v>
      </c>
      <c r="M19" s="108">
        <v>-20.768000000000001</v>
      </c>
      <c r="N19" s="108">
        <v>-23.428000000000001</v>
      </c>
      <c r="O19" s="108">
        <v>-4.4050000000000002</v>
      </c>
      <c r="P19" s="108">
        <v>-17.841000000000001</v>
      </c>
      <c r="Q19" s="108">
        <v>-50.582000000000001</v>
      </c>
      <c r="R19" s="108">
        <v>-41.366999999999997</v>
      </c>
      <c r="S19" s="108">
        <v>-35.067999999999998</v>
      </c>
      <c r="T19" s="108">
        <v>-7.2350000000000003</v>
      </c>
      <c r="U19" s="108">
        <v>-30.850999999999999</v>
      </c>
      <c r="V19" s="108">
        <v>-23.111999999999998</v>
      </c>
      <c r="W19" s="108">
        <v>-16.506994909999992</v>
      </c>
      <c r="X19" s="108">
        <v>-24.896261960000004</v>
      </c>
      <c r="Y19" s="108">
        <v>-40.642743129999999</v>
      </c>
      <c r="Z19" s="108">
        <v>-40.200000000000003</v>
      </c>
      <c r="AA19" s="108">
        <v>-37.996000000000002</v>
      </c>
      <c r="AB19" s="108">
        <v>-39.908958510000005</v>
      </c>
      <c r="AC19" s="108">
        <v>-45.338000000000001</v>
      </c>
      <c r="AD19" s="108">
        <v>-45.147912202248001</v>
      </c>
    </row>
    <row r="20" spans="1:30" ht="14.25">
      <c r="A20" s="112" t="s">
        <v>48</v>
      </c>
      <c r="B20" s="108">
        <v>-1.286</v>
      </c>
      <c r="C20" s="108">
        <v>-1.3220000000000001</v>
      </c>
      <c r="D20" s="108">
        <v>-1.9370000000000001</v>
      </c>
      <c r="E20" s="108">
        <v>-3.8479999999999999</v>
      </c>
      <c r="F20" s="108">
        <v>-4.41</v>
      </c>
      <c r="G20" s="108">
        <v>-1.53</v>
      </c>
      <c r="H20" s="108">
        <v>-3.63</v>
      </c>
      <c r="I20" s="108">
        <v>-1.891</v>
      </c>
      <c r="J20" s="108">
        <v>-1.7849999999999999</v>
      </c>
      <c r="K20" s="108">
        <v>-1.4350000000000001</v>
      </c>
      <c r="L20" s="108">
        <v>-1.3720000000000001</v>
      </c>
      <c r="M20" s="108">
        <v>-1.2549999999999999</v>
      </c>
      <c r="N20" s="108">
        <v>-1.494</v>
      </c>
      <c r="O20" s="108">
        <v>-1.3240000000000001</v>
      </c>
      <c r="P20" s="108">
        <v>-1.2549999999999999</v>
      </c>
      <c r="Q20" s="108">
        <v>-1.52</v>
      </c>
      <c r="R20" s="108">
        <v>-1.1439999999999999</v>
      </c>
      <c r="S20" s="108">
        <v>-1.0289999999999999</v>
      </c>
      <c r="T20" s="108">
        <v>-1.1870000000000001</v>
      </c>
      <c r="U20" s="108">
        <v>-1.929</v>
      </c>
      <c r="V20" s="108">
        <v>-1.411</v>
      </c>
      <c r="W20" s="108">
        <v>-1.246</v>
      </c>
      <c r="X20" s="108">
        <v>-1.3417218220600002</v>
      </c>
      <c r="Y20" s="108">
        <v>-3.0666268607809992</v>
      </c>
      <c r="Z20" s="108">
        <v>-1.7</v>
      </c>
      <c r="AA20" s="108">
        <v>-1.518</v>
      </c>
      <c r="AB20" s="108">
        <v>-1.4269341277649001</v>
      </c>
      <c r="AC20" s="108">
        <v>-3.9729999999999999</v>
      </c>
      <c r="AD20" s="108">
        <v>-3.9723876183679998</v>
      </c>
    </row>
    <row r="21" spans="1:30" ht="14.25">
      <c r="A21" s="112" t="s">
        <v>49</v>
      </c>
      <c r="B21" s="108">
        <v>-22.018999999999998</v>
      </c>
      <c r="C21" s="108">
        <v>-24.526</v>
      </c>
      <c r="D21" s="108">
        <v>-32.235999999999997</v>
      </c>
      <c r="E21" s="108">
        <v>-22.352</v>
      </c>
      <c r="F21" s="108">
        <v>-36.374000000000002</v>
      </c>
      <c r="G21" s="108">
        <v>3.7330000000000001</v>
      </c>
      <c r="H21" s="108">
        <v>5.7670000000000003</v>
      </c>
      <c r="I21" s="108">
        <v>-34.604999999999997</v>
      </c>
      <c r="J21" s="108">
        <v>-12.555</v>
      </c>
      <c r="K21" s="108">
        <v>-10.198</v>
      </c>
      <c r="L21" s="108">
        <v>-12.129</v>
      </c>
      <c r="M21" s="108">
        <v>-20.341000000000001</v>
      </c>
      <c r="N21" s="108">
        <v>-16.791</v>
      </c>
      <c r="O21" s="108">
        <v>-8.7059999999999995</v>
      </c>
      <c r="P21" s="108">
        <v>-15.398999999999999</v>
      </c>
      <c r="Q21" s="108">
        <v>-9.5519999999999996</v>
      </c>
      <c r="R21" s="108">
        <v>-6.4870000000000001</v>
      </c>
      <c r="S21" s="108">
        <v>-31.187000000000001</v>
      </c>
      <c r="T21" s="108">
        <v>-49.636000000000003</v>
      </c>
      <c r="U21" s="108">
        <v>-0.34200000000000003</v>
      </c>
      <c r="V21" s="108">
        <v>-12.427000000000001</v>
      </c>
      <c r="W21" s="108">
        <v>-1.6459999999999999</v>
      </c>
      <c r="X21" s="108">
        <v>-6.9801520457434902</v>
      </c>
      <c r="Y21" s="108">
        <v>-11.504028740678915</v>
      </c>
      <c r="Z21" s="108">
        <v>-10.6</v>
      </c>
      <c r="AA21" s="108">
        <v>-9.3529999999999998</v>
      </c>
      <c r="AB21" s="108">
        <v>-9.7769377602460388</v>
      </c>
      <c r="AC21" s="108">
        <v>-4.2439999999999998</v>
      </c>
      <c r="AD21" s="108">
        <v>-4.4101475265838044</v>
      </c>
    </row>
    <row r="22" spans="1:30" ht="14.25">
      <c r="A22" s="127" t="s">
        <v>50</v>
      </c>
      <c r="B22" s="128">
        <f>SUM(B23:B26)</f>
        <v>14.721</v>
      </c>
      <c r="C22" s="128">
        <f t="shared" ref="C22:AB22" si="1">SUM(C23:C26)</f>
        <v>9.77</v>
      </c>
      <c r="D22" s="128">
        <f t="shared" si="1"/>
        <v>18.256</v>
      </c>
      <c r="E22" s="128">
        <f t="shared" si="1"/>
        <v>-4.8759999999999994</v>
      </c>
      <c r="F22" s="128">
        <f t="shared" si="1"/>
        <v>6.544999999999999</v>
      </c>
      <c r="G22" s="128">
        <f t="shared" si="1"/>
        <v>6.9930000000000003</v>
      </c>
      <c r="H22" s="128">
        <f t="shared" si="1"/>
        <v>14.311999999999999</v>
      </c>
      <c r="I22" s="128">
        <f t="shared" si="1"/>
        <v>11.488</v>
      </c>
      <c r="J22" s="128">
        <f t="shared" si="1"/>
        <v>6.8689999999999998</v>
      </c>
      <c r="K22" s="128">
        <f t="shared" si="1"/>
        <v>15.843999999999999</v>
      </c>
      <c r="L22" s="128">
        <f t="shared" si="1"/>
        <v>22.522999999999996</v>
      </c>
      <c r="M22" s="128">
        <f t="shared" si="1"/>
        <v>22.028000000000002</v>
      </c>
      <c r="N22" s="128">
        <f t="shared" si="1"/>
        <v>21.298999999999999</v>
      </c>
      <c r="O22" s="128">
        <f t="shared" si="1"/>
        <v>22.687000000000001</v>
      </c>
      <c r="P22" s="128">
        <f t="shared" si="1"/>
        <v>26.030999999999999</v>
      </c>
      <c r="Q22" s="128">
        <f t="shared" si="1"/>
        <v>10.299000000000003</v>
      </c>
      <c r="R22" s="128">
        <f t="shared" si="1"/>
        <v>20.207000000000004</v>
      </c>
      <c r="S22" s="128">
        <f t="shared" si="1"/>
        <v>11.587000000000002</v>
      </c>
      <c r="T22" s="128">
        <f t="shared" si="1"/>
        <v>14.711</v>
      </c>
      <c r="U22" s="128">
        <f t="shared" si="1"/>
        <v>38.530999999999999</v>
      </c>
      <c r="V22" s="128">
        <f t="shared" si="1"/>
        <v>19.55</v>
      </c>
      <c r="W22" s="128">
        <f t="shared" si="1"/>
        <v>27.425141660000001</v>
      </c>
      <c r="X22" s="128">
        <f t="shared" si="1"/>
        <v>52.235967926966843</v>
      </c>
      <c r="Y22" s="128">
        <f t="shared" si="1"/>
        <v>29.370107909855157</v>
      </c>
      <c r="Z22" s="128">
        <f t="shared" si="1"/>
        <v>34.4</v>
      </c>
      <c r="AA22" s="128">
        <f t="shared" si="1"/>
        <v>16.96</v>
      </c>
      <c r="AB22" s="128">
        <f t="shared" si="1"/>
        <v>54.640000000000008</v>
      </c>
      <c r="AC22" s="128">
        <f>SUM(AC23:AC26)</f>
        <v>6.3249999999999993</v>
      </c>
      <c r="AD22" s="128">
        <f>SUM(AD23:AD26)</f>
        <v>10.149497246609311</v>
      </c>
    </row>
    <row r="23" spans="1:30" ht="14.25">
      <c r="A23" s="112" t="s">
        <v>51</v>
      </c>
      <c r="B23" s="108">
        <v>0.69399999999999995</v>
      </c>
      <c r="C23" s="108">
        <v>4.1470000000000002</v>
      </c>
      <c r="D23" s="108">
        <v>17.007999999999999</v>
      </c>
      <c r="E23" s="108">
        <v>-12.988</v>
      </c>
      <c r="F23" s="108">
        <v>1.1579999999999999</v>
      </c>
      <c r="G23" s="108">
        <v>3.7469999999999999</v>
      </c>
      <c r="H23" s="108">
        <v>11.997999999999999</v>
      </c>
      <c r="I23" s="108">
        <v>8.7859999999999996</v>
      </c>
      <c r="J23" s="108">
        <v>4.9409999999999998</v>
      </c>
      <c r="K23" s="108">
        <v>7.9850000000000003</v>
      </c>
      <c r="L23" s="108">
        <v>14.5</v>
      </c>
      <c r="M23" s="108">
        <v>17.102</v>
      </c>
      <c r="N23" s="108">
        <v>15.319000000000001</v>
      </c>
      <c r="O23" s="108">
        <v>14.849</v>
      </c>
      <c r="P23" s="108">
        <v>15.952999999999999</v>
      </c>
      <c r="Q23" s="108">
        <v>17.518000000000001</v>
      </c>
      <c r="R23" s="108">
        <v>16.774000000000001</v>
      </c>
      <c r="S23" s="108">
        <v>3.621</v>
      </c>
      <c r="T23" s="108">
        <v>9.4329999999999998</v>
      </c>
      <c r="U23" s="108">
        <v>11.381</v>
      </c>
      <c r="V23" s="108">
        <v>10.616</v>
      </c>
      <c r="W23" s="108">
        <v>6.0570000000000004</v>
      </c>
      <c r="X23" s="108">
        <v>3.7794030352308416</v>
      </c>
      <c r="Y23" s="108">
        <v>4.2691972205321562</v>
      </c>
      <c r="Z23" s="108">
        <v>3.7</v>
      </c>
      <c r="AA23" s="108">
        <v>3.5539999999999998</v>
      </c>
      <c r="AB23" s="108">
        <v>4.7510000000000012</v>
      </c>
      <c r="AC23" s="108">
        <v>3.6080000000000001</v>
      </c>
      <c r="AD23" s="108">
        <v>2.7468024946380001</v>
      </c>
    </row>
    <row r="24" spans="1:30" ht="14.25">
      <c r="A24" s="112" t="s">
        <v>52</v>
      </c>
      <c r="B24" s="108">
        <v>8.66</v>
      </c>
      <c r="C24" s="108">
        <v>3.7770000000000001</v>
      </c>
      <c r="D24" s="108">
        <v>4.4630000000000001</v>
      </c>
      <c r="E24" s="108">
        <v>7.2469999999999999</v>
      </c>
      <c r="F24" s="108">
        <v>5.2409999999999997</v>
      </c>
      <c r="G24" s="108">
        <v>1.6919999999999999</v>
      </c>
      <c r="H24" s="108">
        <v>1.9330000000000001</v>
      </c>
      <c r="I24" s="108">
        <v>3.67</v>
      </c>
      <c r="J24" s="108">
        <v>1.657</v>
      </c>
      <c r="K24" s="108">
        <v>1.8380000000000001</v>
      </c>
      <c r="L24" s="108">
        <v>1.8340000000000001</v>
      </c>
      <c r="M24" s="108">
        <v>3.64</v>
      </c>
      <c r="N24" s="108">
        <v>1.8859999999999999</v>
      </c>
      <c r="O24" s="108">
        <v>1.835</v>
      </c>
      <c r="P24" s="108">
        <v>2.9969999999999999</v>
      </c>
      <c r="Q24" s="108">
        <v>0.97799999999999998</v>
      </c>
      <c r="R24" s="108">
        <v>1.6659999999999999</v>
      </c>
      <c r="S24" s="108">
        <v>5.5410000000000004</v>
      </c>
      <c r="T24" s="108">
        <v>1.01</v>
      </c>
      <c r="U24" s="108">
        <v>3.411</v>
      </c>
      <c r="V24" s="108">
        <v>1.68</v>
      </c>
      <c r="W24" s="108">
        <v>3.5999999999999997E-2</v>
      </c>
      <c r="X24" s="108">
        <v>8.8273547954420106</v>
      </c>
      <c r="Y24" s="108">
        <v>6.6110299745579901</v>
      </c>
      <c r="Z24" s="108">
        <v>5</v>
      </c>
      <c r="AA24" s="108">
        <v>4.0650000000000004</v>
      </c>
      <c r="AB24" s="108">
        <v>7.6900000000000048</v>
      </c>
      <c r="AC24" s="108">
        <v>-3.2789999999999999</v>
      </c>
      <c r="AD24" s="108">
        <v>1.6595077084173104</v>
      </c>
    </row>
    <row r="25" spans="1:30" ht="14.25">
      <c r="A25" s="112" t="s">
        <v>53</v>
      </c>
      <c r="B25" s="108"/>
      <c r="C25" s="108"/>
      <c r="D25" s="108"/>
      <c r="E25" s="108"/>
      <c r="F25" s="108">
        <v>0</v>
      </c>
      <c r="G25" s="108">
        <v>0</v>
      </c>
      <c r="H25" s="108">
        <v>0</v>
      </c>
      <c r="I25" s="108">
        <v>0</v>
      </c>
      <c r="J25" s="108">
        <v>0</v>
      </c>
      <c r="K25" s="108">
        <v>5.6829999999999998</v>
      </c>
      <c r="L25" s="108">
        <v>0.68200000000000005</v>
      </c>
      <c r="M25" s="108">
        <v>1.07</v>
      </c>
      <c r="N25" s="108">
        <v>1.4119999999999999</v>
      </c>
      <c r="O25" s="108">
        <v>1.6859999999999999</v>
      </c>
      <c r="P25" s="108">
        <v>1.966</v>
      </c>
      <c r="Q25" s="108">
        <v>1.9630000000000001</v>
      </c>
      <c r="R25" s="108">
        <v>2.0649999999999999</v>
      </c>
      <c r="S25" s="108">
        <v>1.714</v>
      </c>
      <c r="T25" s="108">
        <v>2.1949999999999998</v>
      </c>
      <c r="U25" s="108">
        <v>21.695</v>
      </c>
      <c r="V25" s="108">
        <v>0.52200000000000002</v>
      </c>
      <c r="W25" s="108">
        <v>1.4401416600000012</v>
      </c>
      <c r="X25" s="108">
        <v>4.2184257599999988</v>
      </c>
      <c r="Y25" s="108">
        <v>5.1544325799999999</v>
      </c>
      <c r="Z25" s="108">
        <v>2.5</v>
      </c>
      <c r="AA25" s="108">
        <v>2.754</v>
      </c>
      <c r="AB25" s="108">
        <v>2.7629999999999999</v>
      </c>
      <c r="AC25" s="108">
        <v>4.3419999999999996</v>
      </c>
      <c r="AD25" s="108">
        <v>2.9358427200000001</v>
      </c>
    </row>
    <row r="26" spans="1:30" ht="14.25">
      <c r="A26" s="112" t="s">
        <v>54</v>
      </c>
      <c r="B26" s="108">
        <v>5.367</v>
      </c>
      <c r="C26" s="108">
        <v>1.8460000000000001</v>
      </c>
      <c r="D26" s="108">
        <v>-3.2149999999999999</v>
      </c>
      <c r="E26" s="108">
        <v>0.86499999999999999</v>
      </c>
      <c r="F26" s="108">
        <v>0.14599999999999999</v>
      </c>
      <c r="G26" s="108">
        <v>1.554</v>
      </c>
      <c r="H26" s="108">
        <v>0.38100000000000001</v>
      </c>
      <c r="I26" s="108">
        <v>-0.96799999999999997</v>
      </c>
      <c r="J26" s="108">
        <v>0.27100000000000002</v>
      </c>
      <c r="K26" s="108">
        <v>0.33800000000000002</v>
      </c>
      <c r="L26" s="108">
        <v>5.5069999999999997</v>
      </c>
      <c r="M26" s="108">
        <v>0.216</v>
      </c>
      <c r="N26" s="108">
        <v>2.6819999999999999</v>
      </c>
      <c r="O26" s="108">
        <v>4.3170000000000002</v>
      </c>
      <c r="P26" s="108">
        <v>5.1150000000000002</v>
      </c>
      <c r="Q26" s="108">
        <v>-10.16</v>
      </c>
      <c r="R26" s="108">
        <v>-0.29799999999999999</v>
      </c>
      <c r="S26" s="108">
        <v>0.71099999999999997</v>
      </c>
      <c r="T26" s="108">
        <v>2.073</v>
      </c>
      <c r="U26" s="108">
        <v>2.044</v>
      </c>
      <c r="V26" s="108">
        <v>6.7320000000000002</v>
      </c>
      <c r="W26" s="108">
        <v>19.891999999999999</v>
      </c>
      <c r="X26" s="108">
        <v>35.410784336293993</v>
      </c>
      <c r="Y26" s="108">
        <v>13.335448134765008</v>
      </c>
      <c r="Z26" s="108">
        <v>23.2</v>
      </c>
      <c r="AA26" s="108">
        <v>6.5869999999999997</v>
      </c>
      <c r="AB26" s="108">
        <v>39.436</v>
      </c>
      <c r="AC26" s="108">
        <v>1.6539999999999999</v>
      </c>
      <c r="AD26" s="108">
        <v>2.8073443235540001</v>
      </c>
    </row>
    <row r="27" spans="1:30" ht="14.25">
      <c r="A27" s="169" t="s">
        <v>55</v>
      </c>
      <c r="B27" s="129">
        <v>-1.992</v>
      </c>
      <c r="C27" s="129">
        <v>1.163</v>
      </c>
      <c r="D27" s="129">
        <v>-0.112</v>
      </c>
      <c r="E27" s="129">
        <v>9.4629999999999992</v>
      </c>
      <c r="F27" s="129">
        <v>25.350999999999999</v>
      </c>
      <c r="G27" s="129">
        <v>25.439</v>
      </c>
      <c r="H27" s="129">
        <v>-4.891</v>
      </c>
      <c r="I27" s="129">
        <v>-22.648</v>
      </c>
      <c r="J27" s="129">
        <v>20.844999999999999</v>
      </c>
      <c r="K27" s="129">
        <v>-12.215</v>
      </c>
      <c r="L27" s="129">
        <v>11.198</v>
      </c>
      <c r="M27" s="129">
        <v>16.978000000000002</v>
      </c>
      <c r="N27" s="129">
        <v>-18.297999999999998</v>
      </c>
      <c r="O27" s="129">
        <v>6.6059999999999999</v>
      </c>
      <c r="P27" s="129">
        <v>1.8320000000000001</v>
      </c>
      <c r="Q27" s="129">
        <v>-4.4960000000000004</v>
      </c>
      <c r="R27" s="129">
        <v>-11.757</v>
      </c>
      <c r="S27" s="129">
        <v>-11.853</v>
      </c>
      <c r="T27" s="129">
        <v>22.222999999999999</v>
      </c>
      <c r="U27" s="129">
        <v>-10.512</v>
      </c>
      <c r="V27" s="129">
        <v>-6.25</v>
      </c>
      <c r="W27" s="129">
        <v>18.184999999999999</v>
      </c>
      <c r="X27" s="129">
        <v>-18.434609050866776</v>
      </c>
      <c r="Y27" s="129">
        <v>3.3826554299999998</v>
      </c>
      <c r="Z27" s="129">
        <v>5.7</v>
      </c>
      <c r="AA27" s="129">
        <v>-0.2</v>
      </c>
      <c r="AB27" s="129">
        <v>-17.109435920000003</v>
      </c>
      <c r="AC27" s="129">
        <v>8.3442446806173791</v>
      </c>
      <c r="AD27" s="129">
        <v>5.7860289717219757</v>
      </c>
    </row>
    <row r="28" spans="1:30" ht="14.25">
      <c r="A28" s="127" t="s">
        <v>56</v>
      </c>
      <c r="B28" s="113">
        <f>SUM(B27,B22,B15)</f>
        <v>-40.248999999999995</v>
      </c>
      <c r="C28" s="113">
        <f t="shared" ref="C28:AD28" si="2">SUM(C27,C22,C15)</f>
        <v>-52.205000000000005</v>
      </c>
      <c r="D28" s="113">
        <f t="shared" si="2"/>
        <v>-57.260999999999996</v>
      </c>
      <c r="E28" s="113">
        <f t="shared" si="2"/>
        <v>-65.203000000000003</v>
      </c>
      <c r="F28" s="113">
        <f t="shared" si="2"/>
        <v>-50.309999999999988</v>
      </c>
      <c r="G28" s="113">
        <f t="shared" si="2"/>
        <v>16.540000000000003</v>
      </c>
      <c r="H28" s="113">
        <f t="shared" si="2"/>
        <v>-11.727</v>
      </c>
      <c r="I28" s="113">
        <f t="shared" si="2"/>
        <v>-89.691999999999993</v>
      </c>
      <c r="J28" s="113">
        <f t="shared" si="2"/>
        <v>-10.531000000000006</v>
      </c>
      <c r="K28" s="113">
        <f t="shared" si="2"/>
        <v>-35.115000000000002</v>
      </c>
      <c r="L28" s="113">
        <f t="shared" si="2"/>
        <v>-13.900000000000006</v>
      </c>
      <c r="M28" s="113">
        <f t="shared" si="2"/>
        <v>-42.116000000000014</v>
      </c>
      <c r="N28" s="113">
        <f t="shared" si="2"/>
        <v>-88.789999999999992</v>
      </c>
      <c r="O28" s="113">
        <f t="shared" si="2"/>
        <v>-39.936</v>
      </c>
      <c r="P28" s="113">
        <f t="shared" si="2"/>
        <v>-69.165999999999997</v>
      </c>
      <c r="Q28" s="113">
        <f t="shared" si="2"/>
        <v>-111.60900000000001</v>
      </c>
      <c r="R28" s="113">
        <f t="shared" si="2"/>
        <v>-96.73099999999998</v>
      </c>
      <c r="S28" s="113">
        <f t="shared" si="2"/>
        <v>-116.50799999999998</v>
      </c>
      <c r="T28" s="113">
        <f t="shared" si="2"/>
        <v>-60.052000000000007</v>
      </c>
      <c r="U28" s="113">
        <f t="shared" si="2"/>
        <v>-48.738000000000007</v>
      </c>
      <c r="V28" s="113">
        <f t="shared" si="2"/>
        <v>-67.51600000000002</v>
      </c>
      <c r="W28" s="113">
        <f t="shared" si="2"/>
        <v>-16.645199125409</v>
      </c>
      <c r="X28" s="113">
        <f t="shared" si="2"/>
        <v>-42.793809498185439</v>
      </c>
      <c r="Y28" s="113">
        <f t="shared" si="2"/>
        <v>-74.023256969713742</v>
      </c>
      <c r="Z28" s="113">
        <f t="shared" si="2"/>
        <v>-53.1</v>
      </c>
      <c r="AA28" s="113">
        <f t="shared" si="2"/>
        <v>-74.72</v>
      </c>
      <c r="AB28" s="113">
        <f t="shared" si="2"/>
        <v>-62.129771061283932</v>
      </c>
      <c r="AC28" s="113">
        <f t="shared" si="2"/>
        <v>-83.087212478793958</v>
      </c>
      <c r="AD28" s="113">
        <f t="shared" si="2"/>
        <v>-80.690303483517823</v>
      </c>
    </row>
    <row r="29" spans="1:30">
      <c r="AA29" s="174"/>
      <c r="AB29" s="174"/>
      <c r="AC29" s="174"/>
      <c r="AD29" s="174"/>
    </row>
    <row r="30" spans="1:30" ht="14.25">
      <c r="A30"/>
      <c r="C30"/>
      <c r="D30"/>
      <c r="E30"/>
      <c r="W30" s="116"/>
      <c r="X30" s="116"/>
      <c r="Y30" s="116"/>
    </row>
    <row r="31" spans="1:30" ht="14.25">
      <c r="A31"/>
      <c r="C31"/>
      <c r="D31"/>
      <c r="E31"/>
    </row>
    <row r="32" spans="1:30" ht="4.5" customHeight="1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  <row r="34" spans="2:2">
      <c r="B34" s="36"/>
    </row>
  </sheetData>
  <mergeCells count="2">
    <mergeCell ref="A1:A2"/>
    <mergeCell ref="B2:E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49992370372631"/>
  </sheetPr>
  <dimension ref="A1:V42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6" sqref="J6"/>
    </sheetView>
  </sheetViews>
  <sheetFormatPr defaultColWidth="9" defaultRowHeight="14.25"/>
  <cols>
    <col min="1" max="1" width="33.125" customWidth="1"/>
    <col min="2" max="3" width="9.375" style="11" hidden="1" customWidth="1"/>
    <col min="4" max="4" width="9.375" style="12" hidden="1" customWidth="1"/>
    <col min="5" max="9" width="9" style="12" hidden="1" customWidth="1"/>
    <col min="10" max="17" width="9" style="12"/>
    <col min="18" max="18" width="9" style="12" customWidth="1"/>
    <col min="19" max="16384" width="9" style="12"/>
  </cols>
  <sheetData>
    <row r="1" spans="1:22" ht="17.25" customHeight="1">
      <c r="A1" s="179"/>
    </row>
    <row r="2" spans="1:22" ht="17.25" customHeight="1">
      <c r="A2" s="179"/>
    </row>
    <row r="3" spans="1:22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</row>
    <row r="4" spans="1:22" ht="16.5" customHeight="1">
      <c r="A4" s="29" t="s">
        <v>68</v>
      </c>
      <c r="B4" s="35" t="s">
        <v>10</v>
      </c>
      <c r="C4" s="35" t="s">
        <v>11</v>
      </c>
      <c r="D4" s="35" t="s">
        <v>12</v>
      </c>
      <c r="E4" s="35" t="s">
        <v>13</v>
      </c>
      <c r="F4" s="34" t="s">
        <v>14</v>
      </c>
      <c r="G4" s="34" t="s">
        <v>15</v>
      </c>
      <c r="H4" s="34" t="s">
        <v>16</v>
      </c>
      <c r="I4" s="34" t="s">
        <v>17</v>
      </c>
      <c r="J4" s="34" t="s">
        <v>57</v>
      </c>
      <c r="K4" s="34" t="s">
        <v>58</v>
      </c>
      <c r="L4" s="34" t="s">
        <v>59</v>
      </c>
      <c r="M4" s="34" t="s">
        <v>60</v>
      </c>
      <c r="N4" s="34" t="s">
        <v>61</v>
      </c>
      <c r="O4" s="34" t="s">
        <v>62</v>
      </c>
      <c r="P4" s="34" t="s">
        <v>63</v>
      </c>
      <c r="Q4" s="34" t="s">
        <v>64</v>
      </c>
      <c r="R4" s="34" t="s">
        <v>65</v>
      </c>
      <c r="S4" s="34" t="s">
        <v>66</v>
      </c>
      <c r="T4" s="34" t="s">
        <v>67</v>
      </c>
      <c r="U4" s="34" t="s">
        <v>209</v>
      </c>
      <c r="V4" s="34" t="s">
        <v>211</v>
      </c>
    </row>
    <row r="5" spans="1:22" ht="6.6" customHeight="1">
      <c r="A5" s="29"/>
      <c r="B5" s="28"/>
      <c r="C5" s="28"/>
      <c r="D5" s="28"/>
      <c r="E5" s="28"/>
      <c r="F5" s="28"/>
      <c r="G5" s="28"/>
    </row>
    <row r="6" spans="1:22" s="13" customFormat="1">
      <c r="A6" s="82" t="s">
        <v>69</v>
      </c>
      <c r="B6" s="87">
        <v>1245</v>
      </c>
      <c r="C6" s="87">
        <v>1200</v>
      </c>
      <c r="D6" s="87">
        <v>1189</v>
      </c>
      <c r="E6" s="87">
        <v>1176</v>
      </c>
      <c r="F6" s="87">
        <v>1158</v>
      </c>
      <c r="G6" s="87">
        <v>1147</v>
      </c>
      <c r="H6" s="87">
        <v>1129</v>
      </c>
      <c r="I6" s="87">
        <v>1111</v>
      </c>
      <c r="J6" s="87">
        <v>1091</v>
      </c>
      <c r="K6" s="87">
        <v>1092</v>
      </c>
      <c r="L6" s="87">
        <v>1088</v>
      </c>
      <c r="M6" s="87">
        <v>1105</v>
      </c>
      <c r="N6" s="87">
        <f>N7+N10</f>
        <v>1137</v>
      </c>
      <c r="O6" s="87">
        <f>O7+O10</f>
        <v>1185</v>
      </c>
      <c r="P6" s="87">
        <f>P7+P10</f>
        <v>1249</v>
      </c>
      <c r="Q6" s="87">
        <f>Q7+Q10</f>
        <v>1341</v>
      </c>
      <c r="R6" s="87">
        <f t="shared" ref="R6:S6" si="0">R7+R10</f>
        <v>1358</v>
      </c>
      <c r="S6" s="87">
        <f t="shared" si="0"/>
        <v>1393</v>
      </c>
      <c r="T6" s="87">
        <f t="shared" ref="T6" si="1">T7+T10</f>
        <v>1416</v>
      </c>
      <c r="U6" s="87">
        <f>U7+U10</f>
        <v>1467</v>
      </c>
      <c r="V6" s="87">
        <f>V7+V10</f>
        <v>1455</v>
      </c>
    </row>
    <row r="7" spans="1:22" s="13" customFormat="1">
      <c r="A7" s="90" t="s">
        <v>19</v>
      </c>
      <c r="B7" s="92">
        <v>1186</v>
      </c>
      <c r="C7" s="92">
        <v>1142</v>
      </c>
      <c r="D7" s="92">
        <v>1132</v>
      </c>
      <c r="E7" s="92">
        <v>1119</v>
      </c>
      <c r="F7" s="92">
        <v>1103</v>
      </c>
      <c r="G7" s="92">
        <v>1093</v>
      </c>
      <c r="H7" s="92">
        <v>1076</v>
      </c>
      <c r="I7" s="92">
        <v>1059</v>
      </c>
      <c r="J7" s="92">
        <v>1039</v>
      </c>
      <c r="K7" s="92">
        <v>1040</v>
      </c>
      <c r="L7" s="92">
        <v>1038</v>
      </c>
      <c r="M7" s="92">
        <v>1054</v>
      </c>
      <c r="N7" s="92">
        <v>1084</v>
      </c>
      <c r="O7" s="92">
        <f>SUM(O8:O9)</f>
        <v>1132</v>
      </c>
      <c r="P7" s="92">
        <f>SUM(P8:P9)</f>
        <v>1196</v>
      </c>
      <c r="Q7" s="92">
        <f>SUM(Q8:Q9)</f>
        <v>1286</v>
      </c>
      <c r="R7" s="92">
        <f t="shared" ref="R7:S7" si="2">SUM(R8:R9)</f>
        <v>1303</v>
      </c>
      <c r="S7" s="92">
        <f t="shared" si="2"/>
        <v>1338</v>
      </c>
      <c r="T7" s="92">
        <f t="shared" ref="T7" si="3">SUM(T8:T9)</f>
        <v>1361</v>
      </c>
      <c r="U7" s="92">
        <f t="shared" ref="U7:V7" si="4">SUM(U8:U9)</f>
        <v>1412</v>
      </c>
      <c r="V7" s="92">
        <f t="shared" si="4"/>
        <v>1400</v>
      </c>
    </row>
    <row r="8" spans="1:22" s="13" customFormat="1">
      <c r="A8" s="84" t="s">
        <v>70</v>
      </c>
      <c r="B8" s="88">
        <v>6</v>
      </c>
      <c r="C8" s="88">
        <v>6</v>
      </c>
      <c r="D8" s="88">
        <v>9</v>
      </c>
      <c r="E8" s="88">
        <v>12</v>
      </c>
      <c r="F8" s="88">
        <v>13</v>
      </c>
      <c r="G8" s="88">
        <v>16</v>
      </c>
      <c r="H8" s="88">
        <v>16</v>
      </c>
      <c r="I8" s="88">
        <v>14</v>
      </c>
      <c r="J8" s="88">
        <v>7</v>
      </c>
      <c r="K8" s="88">
        <v>5</v>
      </c>
      <c r="L8" s="88">
        <v>5</v>
      </c>
      <c r="M8" s="88">
        <v>5</v>
      </c>
      <c r="N8" s="88">
        <v>4</v>
      </c>
      <c r="O8" s="88">
        <v>4</v>
      </c>
      <c r="P8" s="88">
        <v>4</v>
      </c>
      <c r="Q8" s="88">
        <v>4</v>
      </c>
      <c r="R8" s="88">
        <v>4</v>
      </c>
      <c r="S8" s="88">
        <v>4</v>
      </c>
      <c r="T8" s="88">
        <v>4</v>
      </c>
      <c r="U8" s="88">
        <v>4</v>
      </c>
      <c r="V8" s="88">
        <v>4</v>
      </c>
    </row>
    <row r="9" spans="1:22">
      <c r="A9" s="91" t="s">
        <v>71</v>
      </c>
      <c r="B9" s="88">
        <v>1180</v>
      </c>
      <c r="C9" s="88">
        <v>1136</v>
      </c>
      <c r="D9" s="88">
        <v>1123</v>
      </c>
      <c r="E9" s="88">
        <v>1107</v>
      </c>
      <c r="F9" s="88">
        <v>1090</v>
      </c>
      <c r="G9" s="88">
        <v>1077</v>
      </c>
      <c r="H9" s="88">
        <v>1060</v>
      </c>
      <c r="I9" s="88">
        <v>1045</v>
      </c>
      <c r="J9" s="88">
        <v>1032</v>
      </c>
      <c r="K9" s="88">
        <v>1035</v>
      </c>
      <c r="L9" s="88">
        <v>1033</v>
      </c>
      <c r="M9" s="88">
        <v>1049</v>
      </c>
      <c r="N9" s="88">
        <v>1080</v>
      </c>
      <c r="O9" s="88">
        <v>1128</v>
      </c>
      <c r="P9" s="88">
        <v>1192</v>
      </c>
      <c r="Q9" s="88">
        <v>1282</v>
      </c>
      <c r="R9" s="88">
        <v>1299</v>
      </c>
      <c r="S9" s="88">
        <v>1334</v>
      </c>
      <c r="T9" s="88">
        <v>1357</v>
      </c>
      <c r="U9" s="88">
        <v>1408</v>
      </c>
      <c r="V9" s="88">
        <v>1396</v>
      </c>
    </row>
    <row r="10" spans="1:22">
      <c r="A10" s="90" t="s">
        <v>20</v>
      </c>
      <c r="B10" s="92">
        <v>59</v>
      </c>
      <c r="C10" s="92">
        <v>58</v>
      </c>
      <c r="D10" s="92">
        <v>57</v>
      </c>
      <c r="E10" s="92">
        <v>57</v>
      </c>
      <c r="F10" s="92">
        <v>55</v>
      </c>
      <c r="G10" s="92">
        <v>54</v>
      </c>
      <c r="H10" s="92">
        <v>53</v>
      </c>
      <c r="I10" s="92">
        <v>52</v>
      </c>
      <c r="J10" s="92">
        <v>52</v>
      </c>
      <c r="K10" s="92">
        <v>52</v>
      </c>
      <c r="L10" s="92">
        <v>50</v>
      </c>
      <c r="M10" s="92">
        <v>51</v>
      </c>
      <c r="N10" s="92">
        <f>N11+N12</f>
        <v>53</v>
      </c>
      <c r="O10" s="92">
        <v>53</v>
      </c>
      <c r="P10" s="92">
        <f>SUM(P11:P12)</f>
        <v>53</v>
      </c>
      <c r="Q10" s="92">
        <f>SUM(Q11:Q12)</f>
        <v>55</v>
      </c>
      <c r="R10" s="92">
        <f t="shared" ref="R10:T10" si="5">SUM(R11:R12)</f>
        <v>55</v>
      </c>
      <c r="S10" s="92">
        <f t="shared" si="5"/>
        <v>55</v>
      </c>
      <c r="T10" s="92">
        <f t="shared" si="5"/>
        <v>55</v>
      </c>
      <c r="U10" s="92">
        <f t="shared" ref="U10:V10" si="6">SUM(U11:U12)</f>
        <v>55</v>
      </c>
      <c r="V10" s="92">
        <f t="shared" si="6"/>
        <v>55</v>
      </c>
    </row>
    <row r="11" spans="1:22">
      <c r="A11" s="84" t="s">
        <v>70</v>
      </c>
      <c r="B11" s="89">
        <v>5</v>
      </c>
      <c r="C11" s="89">
        <v>5</v>
      </c>
      <c r="D11" s="89">
        <v>4</v>
      </c>
      <c r="E11" s="89">
        <v>4</v>
      </c>
      <c r="F11" s="89">
        <v>4</v>
      </c>
      <c r="G11" s="89">
        <v>4</v>
      </c>
      <c r="H11" s="89">
        <v>4</v>
      </c>
      <c r="I11" s="89">
        <v>4</v>
      </c>
      <c r="J11" s="89">
        <v>2</v>
      </c>
      <c r="K11" s="89">
        <v>2</v>
      </c>
      <c r="L11" s="89">
        <v>2</v>
      </c>
      <c r="M11" s="89">
        <v>2</v>
      </c>
      <c r="N11" s="89">
        <v>2</v>
      </c>
      <c r="O11" s="89">
        <v>2</v>
      </c>
      <c r="P11" s="89">
        <v>2</v>
      </c>
      <c r="Q11" s="89">
        <v>2</v>
      </c>
      <c r="R11" s="89">
        <v>2</v>
      </c>
      <c r="S11" s="89">
        <v>2</v>
      </c>
      <c r="T11" s="89">
        <v>2</v>
      </c>
      <c r="U11" s="89">
        <v>2</v>
      </c>
      <c r="V11" s="89">
        <v>2</v>
      </c>
    </row>
    <row r="12" spans="1:22">
      <c r="A12" s="83" t="s">
        <v>71</v>
      </c>
      <c r="B12" s="88">
        <v>54</v>
      </c>
      <c r="C12" s="88">
        <v>53</v>
      </c>
      <c r="D12" s="88">
        <v>53</v>
      </c>
      <c r="E12" s="88">
        <v>53</v>
      </c>
      <c r="F12" s="88">
        <v>51</v>
      </c>
      <c r="G12" s="88">
        <v>50</v>
      </c>
      <c r="H12" s="88">
        <v>49</v>
      </c>
      <c r="I12" s="88">
        <v>48</v>
      </c>
      <c r="J12" s="88">
        <v>50</v>
      </c>
      <c r="K12" s="88">
        <v>50</v>
      </c>
      <c r="L12" s="88">
        <v>48</v>
      </c>
      <c r="M12" s="88">
        <v>49</v>
      </c>
      <c r="N12" s="88">
        <v>51</v>
      </c>
      <c r="O12" s="88">
        <v>51</v>
      </c>
      <c r="P12" s="88">
        <v>51</v>
      </c>
      <c r="Q12" s="88">
        <v>53</v>
      </c>
      <c r="R12" s="88">
        <v>53</v>
      </c>
      <c r="S12" s="88">
        <v>53</v>
      </c>
      <c r="T12" s="88">
        <v>53</v>
      </c>
      <c r="U12" s="88">
        <v>53</v>
      </c>
      <c r="V12" s="88">
        <v>53</v>
      </c>
    </row>
    <row r="13" spans="1:22">
      <c r="A13" s="82" t="s">
        <v>21</v>
      </c>
      <c r="B13" s="87">
        <v>93</v>
      </c>
      <c r="C13" s="87">
        <v>95</v>
      </c>
      <c r="D13" s="87">
        <v>99</v>
      </c>
      <c r="E13" s="87">
        <v>103</v>
      </c>
      <c r="F13" s="87">
        <v>98</v>
      </c>
      <c r="G13" s="87">
        <v>98</v>
      </c>
      <c r="H13" s="87">
        <v>107</v>
      </c>
      <c r="I13" s="87">
        <v>107</v>
      </c>
      <c r="J13" s="87">
        <v>114</v>
      </c>
      <c r="K13" s="87">
        <v>116</v>
      </c>
      <c r="L13" s="87">
        <v>121</v>
      </c>
      <c r="M13" s="87">
        <v>122</v>
      </c>
      <c r="N13" s="87">
        <f>N14</f>
        <v>123</v>
      </c>
      <c r="O13" s="87">
        <f>O14</f>
        <v>125</v>
      </c>
      <c r="P13" s="87">
        <f>P14</f>
        <v>143</v>
      </c>
      <c r="Q13" s="87">
        <f>Q14</f>
        <v>151</v>
      </c>
      <c r="R13" s="87">
        <f t="shared" ref="R13:V13" si="7">R14</f>
        <v>165</v>
      </c>
      <c r="S13" s="87">
        <f t="shared" si="7"/>
        <v>172</v>
      </c>
      <c r="T13" s="87">
        <f t="shared" si="7"/>
        <v>181</v>
      </c>
      <c r="U13" s="87">
        <f t="shared" si="7"/>
        <v>179</v>
      </c>
      <c r="V13" s="87">
        <f t="shared" si="7"/>
        <v>187</v>
      </c>
    </row>
    <row r="14" spans="1:22">
      <c r="A14" s="85" t="s">
        <v>22</v>
      </c>
      <c r="B14" s="93">
        <v>93</v>
      </c>
      <c r="C14" s="93">
        <v>95</v>
      </c>
      <c r="D14" s="93">
        <v>99</v>
      </c>
      <c r="E14" s="93">
        <v>103</v>
      </c>
      <c r="F14" s="93">
        <v>98</v>
      </c>
      <c r="G14" s="93">
        <v>98</v>
      </c>
      <c r="H14" s="93">
        <v>107</v>
      </c>
      <c r="I14" s="93">
        <v>107</v>
      </c>
      <c r="J14" s="93">
        <v>114</v>
      </c>
      <c r="K14" s="93">
        <v>116</v>
      </c>
      <c r="L14" s="93">
        <v>121</v>
      </c>
      <c r="M14" s="93">
        <v>122</v>
      </c>
      <c r="N14" s="93">
        <v>123</v>
      </c>
      <c r="O14" s="93">
        <f>SUM(O15:O16)</f>
        <v>125</v>
      </c>
      <c r="P14" s="93">
        <f>SUM(P15:P16)</f>
        <v>143</v>
      </c>
      <c r="Q14" s="93">
        <f>SUM(Q15:Q16)</f>
        <v>151</v>
      </c>
      <c r="R14" s="93">
        <f t="shared" ref="R14:T14" si="8">SUM(R15:R16)</f>
        <v>165</v>
      </c>
      <c r="S14" s="93">
        <f t="shared" si="8"/>
        <v>172</v>
      </c>
      <c r="T14" s="93">
        <f t="shared" si="8"/>
        <v>181</v>
      </c>
      <c r="U14" s="93">
        <f t="shared" ref="U14:V14" si="9">SUM(U15:U16)</f>
        <v>179</v>
      </c>
      <c r="V14" s="93">
        <f t="shared" si="9"/>
        <v>187</v>
      </c>
    </row>
    <row r="15" spans="1:22" s="13" customFormat="1">
      <c r="A15" s="83" t="s">
        <v>70</v>
      </c>
      <c r="B15" s="86">
        <v>8</v>
      </c>
      <c r="C15" s="86">
        <v>8</v>
      </c>
      <c r="D15" s="86">
        <v>8</v>
      </c>
      <c r="E15" s="86">
        <v>7</v>
      </c>
      <c r="F15" s="86">
        <v>7</v>
      </c>
      <c r="G15" s="86">
        <v>7</v>
      </c>
      <c r="H15" s="86">
        <v>5</v>
      </c>
      <c r="I15" s="86">
        <v>5</v>
      </c>
      <c r="J15" s="86">
        <v>5</v>
      </c>
      <c r="K15" s="86">
        <v>5</v>
      </c>
      <c r="L15" s="86">
        <v>5</v>
      </c>
      <c r="M15" s="86">
        <v>2</v>
      </c>
      <c r="N15" s="86">
        <v>2</v>
      </c>
      <c r="O15" s="86">
        <v>1</v>
      </c>
      <c r="P15" s="86">
        <v>1</v>
      </c>
      <c r="Q15" s="86">
        <v>1</v>
      </c>
      <c r="R15" s="86">
        <v>1</v>
      </c>
      <c r="S15" s="86">
        <v>1</v>
      </c>
      <c r="T15" s="86">
        <v>1</v>
      </c>
      <c r="U15" s="86">
        <v>1</v>
      </c>
      <c r="V15" s="86">
        <v>1</v>
      </c>
    </row>
    <row r="16" spans="1:22" s="13" customFormat="1">
      <c r="A16" s="83" t="s">
        <v>71</v>
      </c>
      <c r="B16" s="88">
        <v>85</v>
      </c>
      <c r="C16" s="88">
        <v>87</v>
      </c>
      <c r="D16" s="88">
        <v>91</v>
      </c>
      <c r="E16" s="88">
        <v>96</v>
      </c>
      <c r="F16" s="88">
        <v>91</v>
      </c>
      <c r="G16" s="88">
        <v>91</v>
      </c>
      <c r="H16" s="88">
        <v>102</v>
      </c>
      <c r="I16" s="88">
        <v>102</v>
      </c>
      <c r="J16" s="88">
        <v>109</v>
      </c>
      <c r="K16" s="88">
        <v>111</v>
      </c>
      <c r="L16" s="88">
        <v>116</v>
      </c>
      <c r="M16" s="88">
        <v>120</v>
      </c>
      <c r="N16" s="88">
        <v>121</v>
      </c>
      <c r="O16" s="88">
        <v>124</v>
      </c>
      <c r="P16" s="88">
        <v>142</v>
      </c>
      <c r="Q16" s="88">
        <v>150</v>
      </c>
      <c r="R16" s="88">
        <v>164</v>
      </c>
      <c r="S16" s="88">
        <v>171</v>
      </c>
      <c r="T16" s="88">
        <v>180</v>
      </c>
      <c r="U16" s="88">
        <v>178</v>
      </c>
      <c r="V16" s="88">
        <v>186</v>
      </c>
    </row>
    <row r="17" spans="1:22" s="13" customFormat="1">
      <c r="A17" s="82" t="s">
        <v>23</v>
      </c>
      <c r="B17" s="87">
        <v>1338</v>
      </c>
      <c r="C17" s="87">
        <v>1295</v>
      </c>
      <c r="D17" s="87">
        <v>1288</v>
      </c>
      <c r="E17" s="87">
        <v>1279</v>
      </c>
      <c r="F17" s="87">
        <v>1256</v>
      </c>
      <c r="G17" s="87">
        <v>1245</v>
      </c>
      <c r="H17" s="87">
        <v>1236</v>
      </c>
      <c r="I17" s="87">
        <v>1218</v>
      </c>
      <c r="J17" s="87">
        <v>1205</v>
      </c>
      <c r="K17" s="87">
        <v>1208</v>
      </c>
      <c r="L17" s="87">
        <v>1209</v>
      </c>
      <c r="M17" s="87">
        <v>1227</v>
      </c>
      <c r="N17" s="87">
        <f>N13+N6</f>
        <v>1260</v>
      </c>
      <c r="O17" s="87">
        <f>O13+O6</f>
        <v>1310</v>
      </c>
      <c r="P17" s="87">
        <f>P13+P6</f>
        <v>1392</v>
      </c>
      <c r="Q17" s="87">
        <f>Q13+Q6</f>
        <v>1492</v>
      </c>
      <c r="R17" s="87">
        <f t="shared" ref="R17:T17" si="10">R13+R6</f>
        <v>1523</v>
      </c>
      <c r="S17" s="87">
        <f t="shared" si="10"/>
        <v>1565</v>
      </c>
      <c r="T17" s="87">
        <f t="shared" si="10"/>
        <v>1597</v>
      </c>
      <c r="U17" s="87">
        <f>U13+U6</f>
        <v>1646</v>
      </c>
      <c r="V17" s="87">
        <f>V13+V6</f>
        <v>1642</v>
      </c>
    </row>
    <row r="18" spans="1:22">
      <c r="B18"/>
      <c r="C18"/>
    </row>
    <row r="21" spans="1:22" ht="4.5" customHeight="1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1:22">
      <c r="B22"/>
      <c r="C22"/>
    </row>
    <row r="23" spans="1:22">
      <c r="D23" s="11"/>
      <c r="E23" s="11"/>
      <c r="F23" s="11"/>
      <c r="G23" s="11"/>
    </row>
    <row r="24" spans="1:22">
      <c r="D24" s="11"/>
      <c r="E24" s="11"/>
      <c r="F24" s="11"/>
      <c r="G24" s="11"/>
    </row>
    <row r="25" spans="1:22">
      <c r="D25" s="11"/>
      <c r="E25" s="11"/>
      <c r="F25" s="11"/>
      <c r="G25" s="11"/>
    </row>
    <row r="26" spans="1:22">
      <c r="D26" s="11"/>
      <c r="E26" s="11"/>
      <c r="F26" s="11"/>
      <c r="G26" s="11"/>
    </row>
    <row r="27" spans="1:22">
      <c r="D27" s="11"/>
      <c r="E27" s="11"/>
      <c r="F27" s="11"/>
      <c r="G27" s="11"/>
    </row>
    <row r="28" spans="1:22">
      <c r="D28" s="11"/>
      <c r="E28" s="11"/>
      <c r="F28" s="11"/>
      <c r="G28" s="11"/>
    </row>
    <row r="29" spans="1:22">
      <c r="D29" s="11"/>
      <c r="E29" s="11"/>
      <c r="F29" s="11"/>
      <c r="G29" s="11"/>
    </row>
    <row r="30" spans="1:22">
      <c r="D30" s="11"/>
      <c r="E30" s="11"/>
      <c r="F30" s="11"/>
      <c r="G30" s="11"/>
    </row>
    <row r="31" spans="1:22">
      <c r="D31" s="11"/>
      <c r="E31" s="11"/>
      <c r="F31" s="11"/>
      <c r="G31" s="11"/>
    </row>
    <row r="32" spans="1:22">
      <c r="D32" s="11"/>
      <c r="E32" s="11"/>
      <c r="F32" s="11"/>
      <c r="G32" s="11"/>
    </row>
    <row r="33" spans="4:7">
      <c r="D33" s="11"/>
      <c r="E33" s="11"/>
      <c r="F33" s="11"/>
      <c r="G33" s="11"/>
    </row>
    <row r="34" spans="4:7">
      <c r="D34" s="11"/>
      <c r="E34" s="11"/>
      <c r="F34" s="11"/>
      <c r="G34" s="11"/>
    </row>
    <row r="35" spans="4:7">
      <c r="D35" s="11"/>
      <c r="E35" s="11"/>
      <c r="F35" s="11"/>
      <c r="G35" s="11"/>
    </row>
    <row r="36" spans="4:7">
      <c r="D36" s="11"/>
      <c r="E36" s="11"/>
      <c r="F36" s="11"/>
      <c r="G36" s="11"/>
    </row>
    <row r="37" spans="4:7">
      <c r="D37" s="11"/>
      <c r="E37" s="11"/>
      <c r="F37" s="11"/>
      <c r="G37" s="11"/>
    </row>
    <row r="38" spans="4:7">
      <c r="D38" s="11"/>
      <c r="E38" s="11"/>
      <c r="F38" s="11"/>
      <c r="G38" s="11"/>
    </row>
    <row r="39" spans="4:7">
      <c r="D39" s="11"/>
      <c r="E39" s="11"/>
      <c r="F39" s="11"/>
      <c r="G39" s="11"/>
    </row>
    <row r="40" spans="4:7">
      <c r="D40" s="11"/>
      <c r="E40" s="11"/>
      <c r="F40" s="11"/>
      <c r="G40" s="11"/>
    </row>
    <row r="41" spans="4:7">
      <c r="D41" s="11"/>
      <c r="E41" s="11"/>
      <c r="F41" s="11"/>
      <c r="G41" s="11"/>
    </row>
    <row r="42" spans="4:7">
      <c r="D42" s="11"/>
      <c r="E42" s="11"/>
      <c r="F42" s="11"/>
      <c r="G42" s="11"/>
    </row>
  </sheetData>
  <mergeCells count="1">
    <mergeCell ref="A1:A2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49992370372631"/>
  </sheetPr>
  <dimension ref="A1:AD41"/>
  <sheetViews>
    <sheetView showGridLines="0" zoomScaleNormal="100" zoomScaleSheetLayoutView="100" workbookViewId="0">
      <pane xSplit="1" ySplit="6" topLeftCell="R7" activePane="bottomRight" state="frozen"/>
      <selection pane="topRight" activeCell="B1" sqref="B1"/>
      <selection pane="bottomLeft" activeCell="A7" sqref="A7"/>
      <selection pane="bottomRight" activeCell="R7" sqref="R7"/>
    </sheetView>
  </sheetViews>
  <sheetFormatPr defaultColWidth="9" defaultRowHeight="14.25"/>
  <cols>
    <col min="1" max="1" width="57.375" customWidth="1"/>
    <col min="2" max="5" width="12.75" hidden="1" customWidth="1"/>
    <col min="6" max="6" width="9.375" style="11" hidden="1" customWidth="1" collapsed="1"/>
    <col min="7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0" ht="17.25">
      <c r="A1" s="179"/>
      <c r="B1" s="159"/>
      <c r="C1" s="159"/>
      <c r="D1" s="159"/>
      <c r="E1" s="159"/>
    </row>
    <row r="2" spans="1:30" ht="17.25">
      <c r="A2" s="179"/>
      <c r="B2" s="159"/>
      <c r="C2" s="159"/>
      <c r="D2" s="159"/>
      <c r="E2" s="159"/>
    </row>
    <row r="3" spans="1:3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ht="16.5" customHeight="1">
      <c r="A4" s="29" t="s">
        <v>72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57</v>
      </c>
      <c r="S4" s="34" t="s">
        <v>58</v>
      </c>
      <c r="T4" s="34" t="s">
        <v>59</v>
      </c>
      <c r="U4" s="34" t="s">
        <v>60</v>
      </c>
      <c r="V4" s="34" t="s">
        <v>61</v>
      </c>
      <c r="W4" s="34" t="s">
        <v>62</v>
      </c>
      <c r="X4" s="34" t="s">
        <v>63</v>
      </c>
      <c r="Y4" s="34" t="s">
        <v>64</v>
      </c>
      <c r="Z4" s="34" t="s">
        <v>65</v>
      </c>
      <c r="AA4" s="34" t="s">
        <v>66</v>
      </c>
      <c r="AB4" s="34" t="s">
        <v>67</v>
      </c>
      <c r="AC4" s="34" t="s">
        <v>209</v>
      </c>
      <c r="AD4" s="34" t="s">
        <v>211</v>
      </c>
    </row>
    <row r="5" spans="1:30" ht="16.5" customHeight="1">
      <c r="A5" s="25" t="s">
        <v>35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0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 ht="15" thickBot="1">
      <c r="A7" s="14" t="s">
        <v>73</v>
      </c>
      <c r="B7" s="155">
        <v>484.78300000000002</v>
      </c>
      <c r="C7" s="20">
        <v>464.92</v>
      </c>
      <c r="D7" s="146"/>
      <c r="E7" s="146"/>
      <c r="F7" s="20">
        <v>289.60000000000002</v>
      </c>
      <c r="G7" s="20">
        <v>3</v>
      </c>
      <c r="H7" s="20">
        <v>62</v>
      </c>
      <c r="I7" s="20">
        <v>162.80000000000001</v>
      </c>
      <c r="J7" s="20">
        <v>165.9</v>
      </c>
      <c r="K7" s="20">
        <v>115.5</v>
      </c>
      <c r="L7" s="20">
        <v>230.4</v>
      </c>
      <c r="M7" s="20">
        <v>314</v>
      </c>
      <c r="N7" s="20">
        <v>292.8</v>
      </c>
      <c r="O7" s="20">
        <v>269.7</v>
      </c>
      <c r="P7" s="20">
        <v>337.6</v>
      </c>
      <c r="Q7" s="20">
        <v>321.39999999999998</v>
      </c>
      <c r="R7" s="20">
        <v>295.5</v>
      </c>
      <c r="S7" s="20">
        <v>269.35700000000003</v>
      </c>
      <c r="T7" s="20">
        <v>375.83824480356247</v>
      </c>
      <c r="U7" s="20">
        <v>352.24628715989599</v>
      </c>
      <c r="V7" s="20">
        <v>317.35410196326967</v>
      </c>
      <c r="W7" s="20">
        <v>294.02237340953673</v>
      </c>
      <c r="X7" s="20">
        <v>363.81348157635279</v>
      </c>
      <c r="Y7" s="20">
        <v>366.41134456999987</v>
      </c>
      <c r="Z7" s="20">
        <v>362.2</v>
      </c>
      <c r="AA7" s="20">
        <v>341.80872406186722</v>
      </c>
      <c r="AB7" s="20">
        <v>376.78889543884594</v>
      </c>
      <c r="AC7" s="20">
        <v>362.11562805987802</v>
      </c>
      <c r="AD7" s="20">
        <v>365.12208783029865</v>
      </c>
    </row>
    <row r="8" spans="1:30" s="13" customFormat="1">
      <c r="A8" s="163" t="s">
        <v>74</v>
      </c>
      <c r="B8" s="163"/>
      <c r="C8" s="164"/>
      <c r="D8" s="163"/>
      <c r="E8" s="163"/>
      <c r="F8" s="164"/>
      <c r="G8" s="164"/>
      <c r="H8" s="164"/>
      <c r="I8" s="164"/>
      <c r="J8" s="164"/>
      <c r="K8" s="164"/>
      <c r="L8" s="164"/>
      <c r="M8" s="164"/>
      <c r="N8" s="164">
        <f>SUM(N9:N10,N13:N14)</f>
        <v>-308.8</v>
      </c>
      <c r="O8" s="164">
        <f t="shared" ref="O8:X8" si="0">SUM(O9:O10,O13:O14)</f>
        <v>-319.29999999999995</v>
      </c>
      <c r="P8" s="164">
        <f t="shared" si="0"/>
        <v>-339.09999999999997</v>
      </c>
      <c r="Q8" s="164">
        <f t="shared" si="0"/>
        <v>-292.09999999999997</v>
      </c>
      <c r="R8" s="164">
        <f t="shared" si="0"/>
        <v>-331.90000000000003</v>
      </c>
      <c r="S8" s="164">
        <f t="shared" si="0"/>
        <v>-324.64428999999996</v>
      </c>
      <c r="T8" s="164">
        <f t="shared" si="0"/>
        <v>-407.2283802721181</v>
      </c>
      <c r="U8" s="164">
        <f t="shared" si="0"/>
        <v>-359.65859064014342</v>
      </c>
      <c r="V8" s="164">
        <f t="shared" si="0"/>
        <v>-284.22558183082316</v>
      </c>
      <c r="W8" s="164">
        <f t="shared" si="0"/>
        <v>-293.84361427010185</v>
      </c>
      <c r="X8" s="164">
        <f t="shared" si="0"/>
        <v>-303.26823043864727</v>
      </c>
      <c r="Y8" s="164">
        <f t="shared" ref="Y8:AA8" si="1">SUM(Y9:Y10,Y13:Y14)</f>
        <v>-342.66223883088935</v>
      </c>
      <c r="Z8" s="164">
        <f t="shared" si="1"/>
        <v>-313.79992696212241</v>
      </c>
      <c r="AA8" s="164">
        <f t="shared" si="1"/>
        <v>-310.65544610758775</v>
      </c>
      <c r="AB8" s="164">
        <f t="shared" ref="AB8" si="2">SUM(AB9:AB10,AB13:AB14)</f>
        <v>-286.75045099232563</v>
      </c>
      <c r="AC8" s="164">
        <f>SUM(AC9:AC10,AC13:AC14)</f>
        <v>-259.23316730325934</v>
      </c>
      <c r="AD8" s="164">
        <f>SUM(AD9:AD10,AD13:AD14)</f>
        <v>-338.21377614339553</v>
      </c>
    </row>
    <row r="9" spans="1:30" s="13" customFormat="1" ht="15" thickBot="1">
      <c r="A9" s="160" t="s">
        <v>39</v>
      </c>
      <c r="B9" s="21">
        <v>-78.134</v>
      </c>
      <c r="C9" s="21">
        <v>-115.20099999999999</v>
      </c>
      <c r="D9" s="16"/>
      <c r="E9" s="16"/>
      <c r="F9" s="21">
        <v>-145.10000000000002</v>
      </c>
      <c r="G9" s="21">
        <v>-20.6</v>
      </c>
      <c r="H9" s="21">
        <v>-16.8</v>
      </c>
      <c r="I9" s="21">
        <v>-44.300000000000004</v>
      </c>
      <c r="J9" s="21">
        <v>-26.5</v>
      </c>
      <c r="K9" s="21">
        <v>-30.5</v>
      </c>
      <c r="L9" s="21">
        <v>-38</v>
      </c>
      <c r="M9" s="21">
        <v>-64.8</v>
      </c>
      <c r="N9" s="21">
        <v>-57</v>
      </c>
      <c r="O9" s="21">
        <v>-65</v>
      </c>
      <c r="P9" s="21">
        <v>-59.3</v>
      </c>
      <c r="Q9" s="21">
        <v>-62.099999999999994</v>
      </c>
      <c r="R9" s="21">
        <v>-61.5</v>
      </c>
      <c r="S9" s="21">
        <v>-88.163999999999987</v>
      </c>
      <c r="T9" s="21">
        <v>-84.733709045316886</v>
      </c>
      <c r="U9" s="21">
        <v>-69.626934084794044</v>
      </c>
      <c r="V9" s="21">
        <v>-64.536711022047982</v>
      </c>
      <c r="W9" s="21">
        <v>-49.589865980537027</v>
      </c>
      <c r="X9" s="21">
        <v>-61.665803986479972</v>
      </c>
      <c r="Y9" s="21">
        <v>-78.031004959388383</v>
      </c>
      <c r="Z9" s="21">
        <v>-63.8</v>
      </c>
      <c r="AA9" s="21">
        <v>-80.873000000000005</v>
      </c>
      <c r="AB9" s="21">
        <v>-65.78990383916701</v>
      </c>
      <c r="AC9" s="21">
        <v>-78.047784904996021</v>
      </c>
      <c r="AD9" s="21">
        <v>-85.400853146215951</v>
      </c>
    </row>
    <row r="10" spans="1:30" ht="15" thickBot="1">
      <c r="A10" s="161" t="s">
        <v>38</v>
      </c>
      <c r="B10" s="21">
        <v>-182.679</v>
      </c>
      <c r="C10" s="21">
        <v>-201.41200000000001</v>
      </c>
      <c r="D10" s="147"/>
      <c r="E10" s="147"/>
      <c r="F10" s="21">
        <v>-234.5</v>
      </c>
      <c r="G10" s="21">
        <v>-186.9</v>
      </c>
      <c r="H10" s="21">
        <v>-249.9</v>
      </c>
      <c r="I10" s="21">
        <v>-254</v>
      </c>
      <c r="J10" s="21">
        <v>-242.8</v>
      </c>
      <c r="K10" s="21">
        <v>-217.2</v>
      </c>
      <c r="L10" s="21">
        <v>-234.1</v>
      </c>
      <c r="M10" s="21">
        <v>-315.39999999999998</v>
      </c>
      <c r="N10" s="21">
        <v>-267.3</v>
      </c>
      <c r="O10" s="21">
        <v>-266.2</v>
      </c>
      <c r="P10" s="21">
        <v>-275.39999999999998</v>
      </c>
      <c r="Q10" s="21">
        <v>-302.7</v>
      </c>
      <c r="R10" s="21">
        <v>-268.60000000000002</v>
      </c>
      <c r="S10" s="21">
        <v>-243.053</v>
      </c>
      <c r="T10" s="21">
        <v>-223.60570832999025</v>
      </c>
      <c r="U10" s="21">
        <v>-239.62482358827128</v>
      </c>
      <c r="V10" s="21">
        <v>-221.77971600415347</v>
      </c>
      <c r="W10" s="21">
        <f t="shared" ref="W10:AD10" si="3">SUM(W11:W12)</f>
        <v>-248.59074790270549</v>
      </c>
      <c r="X10" s="21">
        <f t="shared" si="3"/>
        <v>-235.99054174609617</v>
      </c>
      <c r="Y10" s="21">
        <f t="shared" si="3"/>
        <v>-257.50240235941908</v>
      </c>
      <c r="Z10" s="21">
        <f t="shared" si="3"/>
        <v>-242</v>
      </c>
      <c r="AA10" s="21">
        <f t="shared" si="3"/>
        <v>-248.22827375563048</v>
      </c>
      <c r="AB10" s="21">
        <f t="shared" si="3"/>
        <v>-237.04917549302326</v>
      </c>
      <c r="AC10" s="21">
        <f t="shared" si="3"/>
        <v>-248.63350401072154</v>
      </c>
      <c r="AD10" s="21">
        <f t="shared" si="3"/>
        <v>-249.90027676020759</v>
      </c>
    </row>
    <row r="11" spans="1:30">
      <c r="A11" s="162" t="s">
        <v>38</v>
      </c>
      <c r="B11" s="22">
        <v>-152.23400000000001</v>
      </c>
      <c r="C11" s="22">
        <v>-166.30199999999999</v>
      </c>
      <c r="D11" s="17"/>
      <c r="E11" s="17"/>
      <c r="F11" s="22">
        <v>-179.4</v>
      </c>
      <c r="G11" s="22">
        <v>-128.30000000000001</v>
      </c>
      <c r="H11" s="22">
        <v>-170.3</v>
      </c>
      <c r="I11" s="22">
        <v>-234.5</v>
      </c>
      <c r="J11" s="22">
        <v>-192.1</v>
      </c>
      <c r="K11" s="22">
        <v>-167.3</v>
      </c>
      <c r="L11" s="22">
        <v>-186.9</v>
      </c>
      <c r="M11" s="22">
        <v>-254.7</v>
      </c>
      <c r="N11" s="22">
        <v>-218.2</v>
      </c>
      <c r="O11" s="22">
        <v>-217.5</v>
      </c>
      <c r="P11" s="22">
        <v>-223.4</v>
      </c>
      <c r="Q11" s="22">
        <v>-249.3</v>
      </c>
      <c r="R11" s="21">
        <v>-216.6</v>
      </c>
      <c r="S11" s="21">
        <v>-189.309</v>
      </c>
      <c r="T11" s="21">
        <v>-172.56532056170661</v>
      </c>
      <c r="U11" s="21">
        <v>-177.89274634187126</v>
      </c>
      <c r="V11" s="21">
        <v>-171.94377241062776</v>
      </c>
      <c r="W11" s="21">
        <v>-190.03845789252506</v>
      </c>
      <c r="X11" s="21">
        <v>-180.75044075269975</v>
      </c>
      <c r="Y11" s="21">
        <v>-198.62752299091446</v>
      </c>
      <c r="Z11" s="21">
        <v>-190.2</v>
      </c>
      <c r="AA11" s="21">
        <v>-192.38027375563047</v>
      </c>
      <c r="AB11" s="21">
        <v>-183.60617549302324</v>
      </c>
      <c r="AC11" s="21">
        <v>-180.04636428161365</v>
      </c>
      <c r="AD11" s="21">
        <v>-194.37699583353177</v>
      </c>
    </row>
    <row r="12" spans="1:30" ht="15" thickBot="1">
      <c r="A12" s="162" t="s">
        <v>75</v>
      </c>
      <c r="B12" s="22">
        <v>-30.445</v>
      </c>
      <c r="C12" s="22">
        <v>-35</v>
      </c>
      <c r="D12" s="17"/>
      <c r="E12" s="17"/>
      <c r="F12" s="22">
        <v>-55.1</v>
      </c>
      <c r="G12" s="22">
        <v>-58.6</v>
      </c>
      <c r="H12" s="22">
        <v>-79.599999999999994</v>
      </c>
      <c r="I12" s="22">
        <v>-19.399999999999999</v>
      </c>
      <c r="J12" s="22">
        <v>-50.7</v>
      </c>
      <c r="K12" s="22">
        <v>-50</v>
      </c>
      <c r="L12" s="22">
        <v>-47.2</v>
      </c>
      <c r="M12" s="22">
        <v>-60.7</v>
      </c>
      <c r="N12" s="22">
        <v>-49.1</v>
      </c>
      <c r="O12" s="22">
        <v>-48.7</v>
      </c>
      <c r="P12" s="22">
        <v>-52</v>
      </c>
      <c r="Q12" s="22">
        <v>-53.4</v>
      </c>
      <c r="R12" s="21">
        <v>-52</v>
      </c>
      <c r="S12" s="21">
        <v>-53.744</v>
      </c>
      <c r="T12" s="21">
        <v>-51.040387768283651</v>
      </c>
      <c r="U12" s="21">
        <v>-61.732077246400017</v>
      </c>
      <c r="V12" s="21">
        <v>-49.835943593525712</v>
      </c>
      <c r="W12" s="21">
        <v>-58.552290010180421</v>
      </c>
      <c r="X12" s="21">
        <v>-55.240100993396432</v>
      </c>
      <c r="Y12" s="21">
        <v>-58.874879368504651</v>
      </c>
      <c r="Z12" s="21">
        <v>-51.8</v>
      </c>
      <c r="AA12" s="21">
        <v>-55.847999999999999</v>
      </c>
      <c r="AB12" s="21">
        <v>-53.443000000000005</v>
      </c>
      <c r="AC12" s="21">
        <v>-68.587139729107903</v>
      </c>
      <c r="AD12" s="21">
        <v>-55.523280926675831</v>
      </c>
    </row>
    <row r="13" spans="1:30" ht="15" thickBot="1">
      <c r="A13" s="161" t="s">
        <v>76</v>
      </c>
      <c r="B13" s="22">
        <v>0.374</v>
      </c>
      <c r="C13" s="22">
        <v>0.497</v>
      </c>
      <c r="D13" s="147"/>
      <c r="E13" s="147"/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-0.1</v>
      </c>
      <c r="O13" s="22">
        <v>-0.2</v>
      </c>
      <c r="P13" s="22">
        <v>-0.2</v>
      </c>
      <c r="Q13" s="22">
        <v>-0.3</v>
      </c>
      <c r="R13" s="21">
        <v>-0.2</v>
      </c>
      <c r="S13" s="21">
        <v>-9.6000000000000002E-2</v>
      </c>
      <c r="T13" s="21">
        <v>-1.4216885473668299E-2</v>
      </c>
      <c r="U13" s="21">
        <v>-6.8329670780694872E-3</v>
      </c>
      <c r="V13" s="21">
        <v>-1.5531158098467585E-3</v>
      </c>
      <c r="W13" s="21">
        <v>-6.7878322043968362E-4</v>
      </c>
      <c r="X13" s="21">
        <v>3.5096923151022564E-3</v>
      </c>
      <c r="Y13" s="21">
        <v>7.3037877611103241E-5</v>
      </c>
      <c r="Z13" s="21">
        <v>7.3037877611103241E-5</v>
      </c>
      <c r="AA13" s="21">
        <v>0</v>
      </c>
      <c r="AB13" s="21">
        <v>0</v>
      </c>
      <c r="AC13" s="21">
        <v>0</v>
      </c>
      <c r="AD13" s="21">
        <v>0</v>
      </c>
    </row>
    <row r="14" spans="1:30" ht="15" thickBot="1">
      <c r="A14" s="161" t="s">
        <v>77</v>
      </c>
      <c r="B14" s="22"/>
      <c r="C14" s="22"/>
      <c r="D14" s="147"/>
      <c r="E14" s="147"/>
      <c r="F14" s="22">
        <v>-707</v>
      </c>
      <c r="G14" s="22">
        <v>-51.099999999999994</v>
      </c>
      <c r="H14" s="22">
        <v>-16.599999999999998</v>
      </c>
      <c r="I14" s="22">
        <v>6.0999999999999943</v>
      </c>
      <c r="J14" s="22">
        <v>-3.8999999999999986</v>
      </c>
      <c r="K14" s="22">
        <v>-41.400000000000006</v>
      </c>
      <c r="L14" s="22">
        <v>-25</v>
      </c>
      <c r="M14" s="22">
        <v>-29.9</v>
      </c>
      <c r="N14" s="22">
        <v>15.600000000000001</v>
      </c>
      <c r="O14" s="22">
        <v>12.100000000000001</v>
      </c>
      <c r="P14" s="22">
        <v>-4.2000000000000028</v>
      </c>
      <c r="Q14" s="22">
        <v>73</v>
      </c>
      <c r="R14" s="22">
        <v>-1.6000000000000014</v>
      </c>
      <c r="S14" s="22">
        <v>6.6687100000000044</v>
      </c>
      <c r="T14" s="22">
        <v>-98.874746011337322</v>
      </c>
      <c r="U14" s="22">
        <v>-50.400000000000006</v>
      </c>
      <c r="V14" s="22">
        <v>2.0923983111880915</v>
      </c>
      <c r="W14" s="22">
        <v>4.3376783963611123</v>
      </c>
      <c r="X14" s="22">
        <v>-5.6153943983862558</v>
      </c>
      <c r="Y14" s="22">
        <v>-7.1289045499595094</v>
      </c>
      <c r="Z14" s="22">
        <v>-8</v>
      </c>
      <c r="AA14" s="22">
        <v>18.445827648042702</v>
      </c>
      <c r="AB14" s="22">
        <v>16.088628339864677</v>
      </c>
      <c r="AC14" s="22">
        <v>67.448121612458252</v>
      </c>
      <c r="AD14" s="22">
        <v>-2.9126462369719968</v>
      </c>
    </row>
    <row r="15" spans="1:30" ht="15" thickBot="1">
      <c r="A15" s="14" t="s">
        <v>78</v>
      </c>
      <c r="B15" s="20">
        <v>105.625</v>
      </c>
      <c r="C15" s="20">
        <v>100.94499999999999</v>
      </c>
      <c r="D15" s="146"/>
      <c r="E15" s="146"/>
      <c r="F15" s="20">
        <v>-797</v>
      </c>
      <c r="G15" s="20">
        <v>-255.5</v>
      </c>
      <c r="H15" s="20">
        <v>-221.3</v>
      </c>
      <c r="I15" s="20">
        <v>-129.4</v>
      </c>
      <c r="J15" s="20">
        <v>-107.1</v>
      </c>
      <c r="K15" s="20">
        <v>-173.7</v>
      </c>
      <c r="L15" s="20">
        <v>-66.7</v>
      </c>
      <c r="M15" s="20">
        <v>-96.1</v>
      </c>
      <c r="N15" s="20">
        <f t="shared" ref="N15:AA15" si="4">SUM(N8,N7)</f>
        <v>-16</v>
      </c>
      <c r="O15" s="20">
        <f t="shared" si="4"/>
        <v>-49.599999999999966</v>
      </c>
      <c r="P15" s="20">
        <f t="shared" si="4"/>
        <v>-1.4999999999999432</v>
      </c>
      <c r="Q15" s="20">
        <f t="shared" si="4"/>
        <v>29.300000000000011</v>
      </c>
      <c r="R15" s="20">
        <f t="shared" si="4"/>
        <v>-36.400000000000034</v>
      </c>
      <c r="S15" s="20">
        <f t="shared" si="4"/>
        <v>-55.287289999999928</v>
      </c>
      <c r="T15" s="20">
        <f t="shared" si="4"/>
        <v>-31.390135468555627</v>
      </c>
      <c r="U15" s="20">
        <f t="shared" si="4"/>
        <v>-7.4123034802474308</v>
      </c>
      <c r="V15" s="20">
        <f t="shared" si="4"/>
        <v>33.128520132446511</v>
      </c>
      <c r="W15" s="20">
        <f t="shared" si="4"/>
        <v>0.17875913943487376</v>
      </c>
      <c r="X15" s="20">
        <f t="shared" si="4"/>
        <v>60.54525113770552</v>
      </c>
      <c r="Y15" s="20">
        <f t="shared" si="4"/>
        <v>23.749105739110519</v>
      </c>
      <c r="Z15" s="20">
        <f t="shared" si="4"/>
        <v>48.400073037877576</v>
      </c>
      <c r="AA15" s="20">
        <f t="shared" si="4"/>
        <v>31.153277954279474</v>
      </c>
      <c r="AB15" s="20">
        <f t="shared" ref="AB15" si="5">SUM(AB8,AB7)</f>
        <v>90.038444446520316</v>
      </c>
      <c r="AC15" s="20">
        <f>SUM(AC8,AC7)</f>
        <v>102.88246075661868</v>
      </c>
      <c r="AD15" s="20">
        <f>SUM(AD8,AD7)</f>
        <v>26.908311686903119</v>
      </c>
    </row>
    <row r="16" spans="1:30" ht="15" thickBot="1">
      <c r="A16" s="17" t="s">
        <v>79</v>
      </c>
      <c r="B16" s="22">
        <v>-40.249000000000002</v>
      </c>
      <c r="C16" s="22">
        <v>-52.204999999999998</v>
      </c>
      <c r="D16" s="18"/>
      <c r="E16" s="18"/>
      <c r="F16" s="22">
        <v>-50.3</v>
      </c>
      <c r="G16" s="22">
        <v>16.5</v>
      </c>
      <c r="H16" s="22">
        <v>-11.7</v>
      </c>
      <c r="I16" s="22">
        <v>-89.7</v>
      </c>
      <c r="J16" s="22">
        <v>-10.5</v>
      </c>
      <c r="K16" s="22">
        <v>-35.1</v>
      </c>
      <c r="L16" s="22">
        <v>-13.9</v>
      </c>
      <c r="M16" s="22">
        <v>-42.1</v>
      </c>
      <c r="N16" s="22">
        <v>-88.8</v>
      </c>
      <c r="O16" s="22">
        <v>-39.9</v>
      </c>
      <c r="P16" s="22">
        <v>-69.2</v>
      </c>
      <c r="Q16" s="22">
        <v>-111.6</v>
      </c>
      <c r="R16" s="21">
        <v>-96.7</v>
      </c>
      <c r="S16" s="21">
        <v>-116.508</v>
      </c>
      <c r="T16" s="21">
        <v>-60.052074169991641</v>
      </c>
      <c r="U16" s="21">
        <v>-48.737824607883404</v>
      </c>
      <c r="V16" s="21">
        <v>-67.539370890721912</v>
      </c>
      <c r="W16" s="21">
        <v>-16.611536408798784</v>
      </c>
      <c r="X16" s="21">
        <v>-42.793809511825529</v>
      </c>
      <c r="Y16" s="21">
        <v>-74.022344570000001</v>
      </c>
      <c r="Z16" s="21">
        <v>-53.1</v>
      </c>
      <c r="AA16" s="21">
        <v>-74.82672406186721</v>
      </c>
      <c r="AB16" s="21">
        <v>-62.129771061283932</v>
      </c>
      <c r="AC16" s="21">
        <v>-83.087212478793958</v>
      </c>
      <c r="AD16" s="21">
        <v>-80.690303483517965</v>
      </c>
    </row>
    <row r="17" spans="1:30" s="13" customFormat="1" ht="15" thickBot="1">
      <c r="A17" s="14" t="s">
        <v>80</v>
      </c>
      <c r="B17" s="20">
        <v>65.376000000000005</v>
      </c>
      <c r="C17" s="20">
        <v>48.74</v>
      </c>
      <c r="D17" s="146"/>
      <c r="E17" s="146"/>
      <c r="F17" s="20">
        <v>-846.8</v>
      </c>
      <c r="G17" s="20">
        <v>-239.5</v>
      </c>
      <c r="H17" s="20">
        <v>-233.1</v>
      </c>
      <c r="I17" s="20">
        <v>-219</v>
      </c>
      <c r="J17" s="20">
        <v>-117.6</v>
      </c>
      <c r="K17" s="20">
        <v>-208.8</v>
      </c>
      <c r="L17" s="20">
        <v>-80.599999999999994</v>
      </c>
      <c r="M17" s="20">
        <v>-138.19999999999999</v>
      </c>
      <c r="N17" s="20">
        <f>SUM(N15:N16)</f>
        <v>-104.8</v>
      </c>
      <c r="O17" s="20">
        <f t="shared" ref="O17:X17" si="6">SUM(O15:O16)</f>
        <v>-89.499999999999972</v>
      </c>
      <c r="P17" s="20">
        <f t="shared" si="6"/>
        <v>-70.699999999999946</v>
      </c>
      <c r="Q17" s="20">
        <f t="shared" si="6"/>
        <v>-82.299999999999983</v>
      </c>
      <c r="R17" s="20">
        <f t="shared" si="6"/>
        <v>-133.10000000000002</v>
      </c>
      <c r="S17" s="20">
        <f t="shared" si="6"/>
        <v>-171.79528999999991</v>
      </c>
      <c r="T17" s="20">
        <f t="shared" si="6"/>
        <v>-91.442209638547268</v>
      </c>
      <c r="U17" s="20">
        <f t="shared" si="6"/>
        <v>-56.150128088130835</v>
      </c>
      <c r="V17" s="20">
        <f t="shared" si="6"/>
        <v>-34.410850758275402</v>
      </c>
      <c r="W17" s="20">
        <f t="shared" si="6"/>
        <v>-16.43277726936391</v>
      </c>
      <c r="X17" s="20">
        <f t="shared" si="6"/>
        <v>17.751441625879991</v>
      </c>
      <c r="Y17" s="20">
        <f t="shared" ref="Y17:AA17" si="7">SUM(Y15:Y16)</f>
        <v>-50.273238830889483</v>
      </c>
      <c r="Z17" s="20">
        <f t="shared" si="7"/>
        <v>-4.6999269621224258</v>
      </c>
      <c r="AA17" s="20">
        <f t="shared" si="7"/>
        <v>-43.673446107587736</v>
      </c>
      <c r="AB17" s="20">
        <f t="shared" ref="AB17" si="8">SUM(AB15:AB16)</f>
        <v>27.908673385236384</v>
      </c>
      <c r="AC17" s="20">
        <f>SUM(AC15:AC16)</f>
        <v>19.795248277824726</v>
      </c>
      <c r="AD17" s="20">
        <f>SUM(AD15:AD16)</f>
        <v>-53.781991796614847</v>
      </c>
    </row>
    <row r="18" spans="1:30" s="13" customFormat="1" ht="15" thickBot="1">
      <c r="A18" s="161" t="s">
        <v>81</v>
      </c>
      <c r="B18" s="21">
        <v>-15.262</v>
      </c>
      <c r="C18" s="21">
        <v>-18.199000000000002</v>
      </c>
      <c r="D18" s="147"/>
      <c r="E18" s="147"/>
      <c r="F18" s="21">
        <v>-304.8</v>
      </c>
      <c r="G18" s="21">
        <v>-12.6</v>
      </c>
      <c r="H18" s="21">
        <v>17.5</v>
      </c>
      <c r="I18" s="21">
        <v>611.6</v>
      </c>
      <c r="J18" s="21">
        <v>36.200000000000003</v>
      </c>
      <c r="K18" s="21">
        <v>33.299999999999997</v>
      </c>
      <c r="L18" s="21">
        <v>-3.2</v>
      </c>
      <c r="M18" s="21">
        <v>-7.5</v>
      </c>
      <c r="N18" s="21">
        <v>-62.1</v>
      </c>
      <c r="O18" s="21">
        <v>-5.3</v>
      </c>
      <c r="P18" s="21">
        <v>-4.5</v>
      </c>
      <c r="Q18" s="21">
        <v>-14.4</v>
      </c>
      <c r="R18" s="21">
        <v>5.0999999999999996</v>
      </c>
      <c r="S18" s="21">
        <v>4.8450000000000006</v>
      </c>
      <c r="T18" s="21">
        <v>3.9377925082190171</v>
      </c>
      <c r="U18" s="21">
        <v>-18.29492344190712</v>
      </c>
      <c r="V18" s="21">
        <v>4.2208808275449483E-2</v>
      </c>
      <c r="W18" s="21">
        <v>-5.7419716538563543</v>
      </c>
      <c r="X18" s="21">
        <v>-3.3162615558803252</v>
      </c>
      <c r="Y18" s="21">
        <v>-10.95861665298758</v>
      </c>
      <c r="Z18" s="21">
        <v>-2.7</v>
      </c>
      <c r="AA18" s="21">
        <v>-2.762049833312469</v>
      </c>
      <c r="AB18" s="21">
        <v>12.724266738624383</v>
      </c>
      <c r="AC18" s="21">
        <v>-47.488021511713313</v>
      </c>
      <c r="AD18" s="21">
        <v>-18.539181670010542</v>
      </c>
    </row>
    <row r="19" spans="1:30" s="13" customFormat="1" ht="15" thickBot="1">
      <c r="A19" s="14" t="s">
        <v>82</v>
      </c>
      <c r="B19" s="20">
        <v>50.115000000000002</v>
      </c>
      <c r="C19" s="20">
        <v>30.541</v>
      </c>
      <c r="D19" s="146"/>
      <c r="E19" s="146"/>
      <c r="F19" s="20">
        <v>-1151.5999999999999</v>
      </c>
      <c r="G19" s="20">
        <v>-252.1</v>
      </c>
      <c r="H19" s="20">
        <v>-215.6</v>
      </c>
      <c r="I19" s="20">
        <v>392.5</v>
      </c>
      <c r="J19" s="20">
        <v>-81.5</v>
      </c>
      <c r="K19" s="20">
        <v>-175.6</v>
      </c>
      <c r="L19" s="20">
        <v>-83.8</v>
      </c>
      <c r="M19" s="20">
        <v>-145.80000000000001</v>
      </c>
      <c r="N19" s="20">
        <f>SUM(N17:N18)</f>
        <v>-166.9</v>
      </c>
      <c r="O19" s="20">
        <f t="shared" ref="O19:X19" si="9">SUM(O17:O18)</f>
        <v>-94.799999999999969</v>
      </c>
      <c r="P19" s="20">
        <f t="shared" si="9"/>
        <v>-75.199999999999946</v>
      </c>
      <c r="Q19" s="20">
        <f t="shared" si="9"/>
        <v>-96.699999999999989</v>
      </c>
      <c r="R19" s="20">
        <f t="shared" si="9"/>
        <v>-128.00000000000003</v>
      </c>
      <c r="S19" s="20">
        <f t="shared" si="9"/>
        <v>-166.95028999999991</v>
      </c>
      <c r="T19" s="20">
        <f t="shared" si="9"/>
        <v>-87.50441713032825</v>
      </c>
      <c r="U19" s="20">
        <f t="shared" si="9"/>
        <v>-74.445051530037958</v>
      </c>
      <c r="V19" s="20">
        <f t="shared" si="9"/>
        <v>-34.368641949999954</v>
      </c>
      <c r="W19" s="20">
        <f t="shared" si="9"/>
        <v>-22.174748923220264</v>
      </c>
      <c r="X19" s="20">
        <f t="shared" si="9"/>
        <v>14.435180069999666</v>
      </c>
      <c r="Y19" s="20">
        <f t="shared" ref="Y19:AA19" si="10">SUM(Y17:Y18)</f>
        <v>-61.231855483877062</v>
      </c>
      <c r="Z19" s="20">
        <f t="shared" si="10"/>
        <v>-7.399926962122426</v>
      </c>
      <c r="AA19" s="20">
        <f t="shared" si="10"/>
        <v>-46.435495940900203</v>
      </c>
      <c r="AB19" s="20">
        <f t="shared" ref="AB19" si="11">SUM(AB17:AB18)</f>
        <v>40.632940123860763</v>
      </c>
      <c r="AC19" s="20">
        <f>SUM(AC17:AC18)</f>
        <v>-27.692773233888587</v>
      </c>
      <c r="AD19" s="20">
        <f>SUM(AD17:AD18)</f>
        <v>-72.321173466625396</v>
      </c>
    </row>
    <row r="20" spans="1:30" s="13" customFormat="1" ht="15" thickBot="1">
      <c r="A20" s="19" t="s">
        <v>83</v>
      </c>
      <c r="B20" s="23">
        <v>43.804000000000002</v>
      </c>
      <c r="C20" s="23">
        <v>30.905999999999999</v>
      </c>
      <c r="D20" s="148"/>
      <c r="E20" s="148"/>
      <c r="F20" s="23">
        <v>-1135.8</v>
      </c>
      <c r="G20" s="23">
        <v>-237.7</v>
      </c>
      <c r="H20" s="23">
        <v>-212.2</v>
      </c>
      <c r="I20" s="23">
        <v>389</v>
      </c>
      <c r="J20" s="23">
        <v>-77</v>
      </c>
      <c r="K20" s="23">
        <v>-171</v>
      </c>
      <c r="L20" s="23">
        <v>-81</v>
      </c>
      <c r="M20" s="23">
        <v>-147.19999999999999</v>
      </c>
      <c r="N20" s="23">
        <f>N19</f>
        <v>-166.9</v>
      </c>
      <c r="O20" s="23">
        <f t="shared" ref="O20:X20" si="12">O19</f>
        <v>-94.799999999999969</v>
      </c>
      <c r="P20" s="23">
        <f t="shared" si="12"/>
        <v>-75.199999999999946</v>
      </c>
      <c r="Q20" s="23">
        <f t="shared" si="12"/>
        <v>-96.699999999999989</v>
      </c>
      <c r="R20" s="21">
        <f t="shared" si="12"/>
        <v>-128.00000000000003</v>
      </c>
      <c r="S20" s="21">
        <f t="shared" si="12"/>
        <v>-166.95028999999991</v>
      </c>
      <c r="T20" s="21">
        <f t="shared" si="12"/>
        <v>-87.50441713032825</v>
      </c>
      <c r="U20" s="21">
        <f t="shared" si="12"/>
        <v>-74.445051530037958</v>
      </c>
      <c r="V20" s="21">
        <f t="shared" si="12"/>
        <v>-34.368641949999954</v>
      </c>
      <c r="W20" s="21">
        <f t="shared" si="12"/>
        <v>-22.174748923220264</v>
      </c>
      <c r="X20" s="21">
        <f t="shared" si="12"/>
        <v>14.435180069999666</v>
      </c>
      <c r="Y20" s="21">
        <f t="shared" ref="Y20" si="13">Y19</f>
        <v>-61.231855483877062</v>
      </c>
      <c r="Z20" s="21">
        <f>Z19</f>
        <v>-7.399926962122426</v>
      </c>
      <c r="AA20" s="21">
        <f>AA19</f>
        <v>-46.435495940900203</v>
      </c>
      <c r="AB20" s="21">
        <f>AB19</f>
        <v>40.632940123860763</v>
      </c>
      <c r="AC20" s="21">
        <f>AC19</f>
        <v>-27.692773233888587</v>
      </c>
      <c r="AD20" s="21">
        <f>AD19</f>
        <v>-72.321173466625396</v>
      </c>
    </row>
    <row r="21" spans="1:30">
      <c r="A21" s="19" t="s">
        <v>84</v>
      </c>
      <c r="B21" s="24">
        <v>6.31</v>
      </c>
      <c r="C21" s="24">
        <v>-0.36499999999999999</v>
      </c>
      <c r="D21" s="148"/>
      <c r="E21" s="148"/>
      <c r="F21" s="24">
        <v>-15.8</v>
      </c>
      <c r="G21" s="24">
        <v>-14.5</v>
      </c>
      <c r="H21" s="24">
        <v>-3.4</v>
      </c>
      <c r="I21" s="24">
        <v>3.6</v>
      </c>
      <c r="J21" s="24">
        <v>-4.4000000000000004</v>
      </c>
      <c r="K21" s="24">
        <v>-4.5999999999999996</v>
      </c>
      <c r="L21" s="24">
        <v>-2.8</v>
      </c>
      <c r="M21" s="24">
        <v>1.5</v>
      </c>
      <c r="N21" s="24">
        <v>0</v>
      </c>
      <c r="O21" s="24">
        <v>0</v>
      </c>
      <c r="P21" s="24">
        <v>0</v>
      </c>
      <c r="Q21" s="24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</row>
    <row r="22" spans="1:30">
      <c r="F22"/>
      <c r="G22"/>
      <c r="H22"/>
      <c r="I22"/>
      <c r="J22"/>
      <c r="K22"/>
      <c r="N22"/>
      <c r="O22"/>
    </row>
    <row r="23" spans="1:30">
      <c r="F23"/>
      <c r="G23"/>
      <c r="H23"/>
      <c r="I23"/>
      <c r="J23"/>
      <c r="K23"/>
      <c r="N23"/>
      <c r="O23"/>
    </row>
    <row r="26" spans="1:30" ht="4.5" customHeight="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</row>
    <row r="27" spans="1:30">
      <c r="F27"/>
      <c r="G27"/>
      <c r="H27"/>
      <c r="I27"/>
      <c r="J27"/>
      <c r="K27"/>
      <c r="N27"/>
      <c r="O27"/>
    </row>
    <row r="28" spans="1:30">
      <c r="L28" s="11"/>
      <c r="M28" s="11"/>
    </row>
    <row r="29" spans="1:30">
      <c r="L29" s="11"/>
      <c r="M29" s="11"/>
    </row>
    <row r="30" spans="1:30">
      <c r="L30" s="11"/>
      <c r="M30" s="11"/>
    </row>
    <row r="31" spans="1:30">
      <c r="L31" s="11"/>
      <c r="M31" s="11"/>
    </row>
    <row r="32" spans="1:30">
      <c r="L32" s="11"/>
      <c r="M32" s="11"/>
    </row>
    <row r="33" spans="12:13">
      <c r="L33" s="11"/>
      <c r="M33" s="11"/>
    </row>
    <row r="34" spans="12:13">
      <c r="L34" s="11"/>
      <c r="M34" s="11"/>
    </row>
    <row r="35" spans="12:13">
      <c r="L35" s="11"/>
      <c r="M35" s="11"/>
    </row>
    <row r="36" spans="12:13">
      <c r="L36" s="11"/>
      <c r="M36" s="11"/>
    </row>
    <row r="37" spans="12:13">
      <c r="L37" s="11"/>
      <c r="M37" s="11"/>
    </row>
    <row r="38" spans="12:13">
      <c r="L38" s="11"/>
      <c r="M38" s="11"/>
    </row>
    <row r="39" spans="12:13">
      <c r="L39" s="11"/>
      <c r="M39" s="11"/>
    </row>
    <row r="40" spans="12:13">
      <c r="L40" s="11"/>
      <c r="M40" s="11"/>
    </row>
    <row r="41" spans="12:13">
      <c r="L41" s="11"/>
      <c r="M41" s="11"/>
    </row>
  </sheetData>
  <mergeCells count="1">
    <mergeCell ref="A1:A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5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49992370372631"/>
    <pageSetUpPr fitToPage="1"/>
  </sheetPr>
  <dimension ref="A1:AD185"/>
  <sheetViews>
    <sheetView showGridLines="0" zoomScale="70" zoomScaleNormal="70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46.75" customWidth="1"/>
    <col min="2" max="5" width="11.5" hidden="1" customWidth="1"/>
    <col min="6" max="6" width="12.25" style="59" hidden="1" customWidth="1" collapsed="1"/>
    <col min="7" max="11" width="12.25" style="11" hidden="1" customWidth="1"/>
    <col min="12" max="13" width="12.25" style="12" hidden="1" customWidth="1"/>
    <col min="14" max="15" width="12.25" style="11" hidden="1" customWidth="1"/>
    <col min="16" max="16" width="12.625" style="12" hidden="1" customWidth="1"/>
    <col min="17" max="17" width="13.375" style="12" hidden="1" customWidth="1"/>
    <col min="18" max="30" width="13.375" style="12" customWidth="1"/>
    <col min="31" max="16384" width="9" style="12"/>
  </cols>
  <sheetData>
    <row r="1" spans="1:30" ht="17.25">
      <c r="A1" s="179"/>
      <c r="B1" s="159"/>
      <c r="C1" s="159"/>
      <c r="D1" s="159"/>
      <c r="E1" s="159"/>
    </row>
    <row r="2" spans="1:30" ht="17.25">
      <c r="A2" s="179"/>
      <c r="B2" s="159"/>
      <c r="C2" s="159"/>
      <c r="D2" s="159"/>
      <c r="E2" s="159"/>
    </row>
    <row r="3" spans="1:30" ht="4.5" customHeight="1">
      <c r="A3" s="30"/>
      <c r="B3" s="31"/>
      <c r="C3" s="31"/>
      <c r="D3" s="31"/>
      <c r="E3" s="31"/>
      <c r="F3" s="60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ht="16.5" customHeight="1">
      <c r="A4" s="29" t="s">
        <v>85</v>
      </c>
      <c r="B4" s="50">
        <v>43555</v>
      </c>
      <c r="C4" s="50">
        <v>43646</v>
      </c>
      <c r="D4" s="50">
        <v>43738</v>
      </c>
      <c r="E4" s="50">
        <v>43830</v>
      </c>
      <c r="F4" s="50">
        <v>43921</v>
      </c>
      <c r="G4" s="50">
        <v>44012</v>
      </c>
      <c r="H4" s="50">
        <v>44104</v>
      </c>
      <c r="I4" s="50">
        <v>44196</v>
      </c>
      <c r="J4" s="49">
        <v>44286</v>
      </c>
      <c r="K4" s="49">
        <v>44377</v>
      </c>
      <c r="L4" s="49">
        <v>44469</v>
      </c>
      <c r="M4" s="49">
        <v>44561</v>
      </c>
      <c r="N4" s="50">
        <v>44651</v>
      </c>
      <c r="O4" s="50">
        <v>44742</v>
      </c>
      <c r="P4" s="50">
        <v>44834</v>
      </c>
      <c r="Q4" s="50">
        <v>44926</v>
      </c>
      <c r="R4" s="50">
        <v>45016</v>
      </c>
      <c r="S4" s="50">
        <v>45107</v>
      </c>
      <c r="T4" s="50">
        <v>45199</v>
      </c>
      <c r="U4" s="50">
        <v>45291</v>
      </c>
      <c r="V4" s="50">
        <v>45382</v>
      </c>
      <c r="W4" s="50">
        <v>45473</v>
      </c>
      <c r="X4" s="50">
        <v>45565</v>
      </c>
      <c r="Y4" s="50">
        <v>45657</v>
      </c>
      <c r="Z4" s="50">
        <v>45747</v>
      </c>
      <c r="AA4" s="50">
        <v>45838</v>
      </c>
      <c r="AB4" s="50">
        <v>45930</v>
      </c>
      <c r="AC4" s="50">
        <v>46022</v>
      </c>
      <c r="AD4" s="50">
        <v>46112</v>
      </c>
    </row>
    <row r="5" spans="1:30" ht="16.5" customHeight="1">
      <c r="A5" s="25" t="s">
        <v>35</v>
      </c>
      <c r="B5" s="26"/>
      <c r="C5" s="26"/>
      <c r="D5" s="26"/>
      <c r="E5" s="26"/>
      <c r="F5" s="61"/>
      <c r="G5" s="12"/>
      <c r="H5" s="12"/>
      <c r="I5" s="12"/>
      <c r="J5" s="12"/>
      <c r="K5" s="12"/>
      <c r="N5" s="12"/>
      <c r="O5" s="12"/>
    </row>
    <row r="6" spans="1:30" s="13" customFormat="1" ht="15">
      <c r="A6" s="48" t="s">
        <v>86</v>
      </c>
      <c r="B6" s="48"/>
      <c r="C6" s="48"/>
      <c r="D6" s="48"/>
      <c r="E6" s="48"/>
      <c r="F6" s="62"/>
      <c r="G6"/>
      <c r="H6"/>
      <c r="I6"/>
      <c r="J6"/>
      <c r="K6"/>
      <c r="L6"/>
      <c r="M6"/>
      <c r="N6"/>
      <c r="O6"/>
    </row>
    <row r="7" spans="1:30" s="13" customFormat="1">
      <c r="A7" s="37" t="s">
        <v>87</v>
      </c>
      <c r="B7" s="37"/>
      <c r="C7" s="37"/>
      <c r="D7" s="37"/>
      <c r="E7" s="37"/>
      <c r="F7" s="63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</row>
    <row r="8" spans="1:30" s="13" customFormat="1">
      <c r="A8" s="165" t="s">
        <v>88</v>
      </c>
      <c r="B8" s="58"/>
      <c r="C8" s="38"/>
      <c r="D8" s="38"/>
      <c r="E8" s="58">
        <v>365.72399999999999</v>
      </c>
      <c r="F8" s="58">
        <v>606</v>
      </c>
      <c r="G8" s="58">
        <v>1074.2</v>
      </c>
      <c r="H8" s="58">
        <v>1647.6</v>
      </c>
      <c r="I8" s="58">
        <v>910.8</v>
      </c>
      <c r="J8" s="58">
        <v>711.9</v>
      </c>
      <c r="K8" s="58">
        <v>583.9</v>
      </c>
      <c r="L8" s="58">
        <v>663.5</v>
      </c>
      <c r="M8" s="58">
        <v>795.8</v>
      </c>
      <c r="N8" s="58">
        <v>779.4</v>
      </c>
      <c r="O8" s="58">
        <v>479.5</v>
      </c>
      <c r="P8" s="58">
        <v>402.4</v>
      </c>
      <c r="Q8" s="58">
        <v>687.5</v>
      </c>
      <c r="R8" s="58">
        <v>426.2</v>
      </c>
      <c r="S8" s="58">
        <v>646.14200000000005</v>
      </c>
      <c r="T8" s="58">
        <v>221.58464413571787</v>
      </c>
      <c r="U8" s="58">
        <v>482.8296436209057</v>
      </c>
      <c r="V8" s="58">
        <v>440.156951669318</v>
      </c>
      <c r="W8" s="58">
        <v>244.15499060590611</v>
      </c>
      <c r="X8" s="58">
        <v>383.44510254060708</v>
      </c>
      <c r="Y8" s="58">
        <v>400.233</v>
      </c>
      <c r="Z8" s="58">
        <v>310.89999999999998</v>
      </c>
      <c r="AA8" s="58">
        <v>251.065</v>
      </c>
      <c r="AB8" s="58">
        <v>176.91200000000001</v>
      </c>
      <c r="AC8" s="58">
        <v>286.72699999999998</v>
      </c>
      <c r="AD8" s="58">
        <v>167.333</v>
      </c>
    </row>
    <row r="9" spans="1:30" s="13" customFormat="1">
      <c r="A9" s="165" t="s">
        <v>89</v>
      </c>
      <c r="B9" s="58"/>
      <c r="C9" s="38"/>
      <c r="D9" s="38"/>
      <c r="E9" s="58">
        <v>0</v>
      </c>
      <c r="F9" s="58">
        <v>0</v>
      </c>
      <c r="G9" s="51">
        <v>0</v>
      </c>
      <c r="H9" s="51">
        <v>30.2</v>
      </c>
      <c r="I9" s="51">
        <v>37</v>
      </c>
      <c r="J9" s="51">
        <v>37</v>
      </c>
      <c r="K9" s="51">
        <v>71.3</v>
      </c>
      <c r="L9" s="51">
        <v>107.2</v>
      </c>
      <c r="M9" s="51">
        <v>190.8</v>
      </c>
      <c r="N9" s="51">
        <v>189.7</v>
      </c>
      <c r="O9" s="51">
        <v>195.8</v>
      </c>
      <c r="P9" s="51">
        <v>234.3</v>
      </c>
      <c r="Q9" s="51">
        <v>127.4</v>
      </c>
      <c r="R9" s="51">
        <v>127.2</v>
      </c>
      <c r="S9" s="51">
        <v>127.732</v>
      </c>
      <c r="T9" s="51">
        <v>144.39490538446398</v>
      </c>
      <c r="U9" s="51">
        <v>130.52027953262498</v>
      </c>
      <c r="V9" s="51">
        <v>132.28849271860997</v>
      </c>
      <c r="W9" s="51">
        <v>86.980744564844002</v>
      </c>
      <c r="X9" s="51">
        <v>83.143589377488993</v>
      </c>
      <c r="Y9" s="51">
        <v>109.76</v>
      </c>
      <c r="Z9" s="51">
        <v>93</v>
      </c>
      <c r="AA9" s="51">
        <v>77.906999999999996</v>
      </c>
      <c r="AB9" s="51">
        <v>64.802999999999997</v>
      </c>
      <c r="AC9" s="51">
        <v>15.731999999999999</v>
      </c>
      <c r="AD9" s="51">
        <v>15.257</v>
      </c>
    </row>
    <row r="10" spans="1:30" s="13" customFormat="1">
      <c r="A10" s="165" t="s">
        <v>90</v>
      </c>
      <c r="B10" s="58"/>
      <c r="C10" s="38"/>
      <c r="D10" s="38"/>
      <c r="E10" s="58">
        <v>0</v>
      </c>
      <c r="F10" s="58">
        <v>122.5</v>
      </c>
      <c r="G10" s="51">
        <v>22.3</v>
      </c>
      <c r="H10" s="51">
        <v>0</v>
      </c>
      <c r="I10" s="51">
        <v>1.9</v>
      </c>
      <c r="J10" s="51">
        <v>1.2</v>
      </c>
      <c r="K10" s="51">
        <v>0</v>
      </c>
      <c r="L10" s="51">
        <v>0.2</v>
      </c>
      <c r="M10" s="51">
        <v>0</v>
      </c>
      <c r="N10" s="51">
        <v>0</v>
      </c>
      <c r="O10" s="51">
        <v>2.8</v>
      </c>
      <c r="P10" s="51">
        <v>1</v>
      </c>
      <c r="Q10" s="51">
        <v>1.1000000000000001</v>
      </c>
      <c r="R10" s="51">
        <v>0</v>
      </c>
      <c r="S10" s="51">
        <v>2E-3</v>
      </c>
      <c r="T10" s="51">
        <v>0.40907659000000002</v>
      </c>
      <c r="U10" s="51">
        <v>4.0267369999999997E-2</v>
      </c>
      <c r="V10" s="51">
        <v>0.30909618</v>
      </c>
      <c r="W10" s="51">
        <v>22.054130260000001</v>
      </c>
      <c r="X10" s="51">
        <v>6.6431834999999992</v>
      </c>
      <c r="Y10" s="51">
        <v>19.577999999999999</v>
      </c>
      <c r="Z10" s="51">
        <v>5.3</v>
      </c>
      <c r="AA10" s="51">
        <v>1.927</v>
      </c>
      <c r="AB10" s="51">
        <v>0</v>
      </c>
      <c r="AC10" s="51">
        <v>2.887</v>
      </c>
      <c r="AD10" s="51">
        <v>2.8000000000000001E-2</v>
      </c>
    </row>
    <row r="11" spans="1:30" s="13" customFormat="1">
      <c r="A11" s="165" t="s">
        <v>91</v>
      </c>
      <c r="B11" s="58"/>
      <c r="C11" s="38"/>
      <c r="D11" s="38"/>
      <c r="E11" s="58">
        <v>3083.3009999999999</v>
      </c>
      <c r="F11" s="58">
        <v>2066.3000000000002</v>
      </c>
      <c r="G11" s="51">
        <v>1120.9000000000001</v>
      </c>
      <c r="H11" s="51">
        <v>987.7</v>
      </c>
      <c r="I11" s="51">
        <v>1147.7</v>
      </c>
      <c r="J11" s="51">
        <v>1092.5</v>
      </c>
      <c r="K11" s="51">
        <v>1165.7</v>
      </c>
      <c r="L11" s="51">
        <v>1541.9</v>
      </c>
      <c r="M11" s="51">
        <v>1092.9000000000001</v>
      </c>
      <c r="N11" s="51">
        <v>825.8</v>
      </c>
      <c r="O11" s="51">
        <v>1156.0999999999999</v>
      </c>
      <c r="P11" s="51">
        <v>983.9</v>
      </c>
      <c r="Q11" s="51">
        <v>515.5</v>
      </c>
      <c r="R11" s="51">
        <v>589.1</v>
      </c>
      <c r="S11" s="51">
        <v>651.322</v>
      </c>
      <c r="T11" s="51">
        <v>1042.1929204354681</v>
      </c>
      <c r="U11" s="51">
        <v>842.63499625162069</v>
      </c>
      <c r="V11" s="51">
        <v>851.6526526361863</v>
      </c>
      <c r="W11" s="51">
        <v>1079.5267414352579</v>
      </c>
      <c r="X11" s="51">
        <v>1100.0467660582381</v>
      </c>
      <c r="Y11" s="51">
        <v>924.30700000000002</v>
      </c>
      <c r="Z11" s="51">
        <v>954.8</v>
      </c>
      <c r="AA11" s="51">
        <v>1070.816</v>
      </c>
      <c r="AB11" s="51">
        <v>1022.261</v>
      </c>
      <c r="AC11" s="51">
        <v>1004.74</v>
      </c>
      <c r="AD11" s="51">
        <v>999.49599999999998</v>
      </c>
    </row>
    <row r="12" spans="1:30" s="13" customFormat="1">
      <c r="A12" s="165" t="s">
        <v>92</v>
      </c>
      <c r="B12" s="58"/>
      <c r="C12" s="38"/>
      <c r="D12" s="38"/>
      <c r="E12" s="58">
        <v>719.27200000000005</v>
      </c>
      <c r="F12" s="58">
        <v>708.1</v>
      </c>
      <c r="G12" s="51">
        <v>650.5</v>
      </c>
      <c r="H12" s="51">
        <v>712.9</v>
      </c>
      <c r="I12" s="51">
        <v>829.6</v>
      </c>
      <c r="J12" s="51">
        <v>786.4</v>
      </c>
      <c r="K12" s="51">
        <v>699.9</v>
      </c>
      <c r="L12" s="51">
        <v>755.4</v>
      </c>
      <c r="M12" s="51">
        <v>714.2</v>
      </c>
      <c r="N12" s="51">
        <v>585.6</v>
      </c>
      <c r="O12" s="51">
        <v>757.9</v>
      </c>
      <c r="P12" s="51">
        <v>678.2</v>
      </c>
      <c r="Q12" s="51">
        <v>445.1</v>
      </c>
      <c r="R12" s="51">
        <v>441.1</v>
      </c>
      <c r="S12" s="51">
        <v>574.63199999999995</v>
      </c>
      <c r="T12" s="51">
        <v>614.60642003005989</v>
      </c>
      <c r="U12" s="51">
        <v>712.06379104581799</v>
      </c>
      <c r="V12" s="51">
        <v>485.30167824011801</v>
      </c>
      <c r="W12" s="51">
        <v>565.81872600534712</v>
      </c>
      <c r="X12" s="51">
        <v>512.036024166743</v>
      </c>
      <c r="Y12" s="51">
        <v>554.58399999999995</v>
      </c>
      <c r="Z12" s="51">
        <v>597</v>
      </c>
      <c r="AA12" s="51">
        <v>646.10699999999997</v>
      </c>
      <c r="AB12" s="51">
        <v>571.84100000000001</v>
      </c>
      <c r="AC12" s="51">
        <v>672.47699999999998</v>
      </c>
      <c r="AD12" s="51">
        <v>628.29600000000005</v>
      </c>
    </row>
    <row r="13" spans="1:30" s="13" customFormat="1">
      <c r="A13" s="165" t="s">
        <v>93</v>
      </c>
      <c r="B13" s="58"/>
      <c r="C13" s="38"/>
      <c r="D13" s="38"/>
      <c r="E13" s="58">
        <v>79.284999999999997</v>
      </c>
      <c r="F13" s="58">
        <v>37.5</v>
      </c>
      <c r="G13" s="51">
        <v>28.6</v>
      </c>
      <c r="H13" s="51">
        <v>28.7</v>
      </c>
      <c r="I13" s="51">
        <v>29.2</v>
      </c>
      <c r="J13" s="51">
        <v>37.9</v>
      </c>
      <c r="K13" s="51">
        <v>39.200000000000003</v>
      </c>
      <c r="L13" s="51">
        <v>48.3</v>
      </c>
      <c r="M13" s="51">
        <v>37.5</v>
      </c>
      <c r="N13" s="51">
        <v>37</v>
      </c>
      <c r="O13" s="51">
        <v>44.8</v>
      </c>
      <c r="P13" s="51">
        <v>40</v>
      </c>
      <c r="Q13" s="51">
        <v>39.6</v>
      </c>
      <c r="R13" s="51">
        <v>55.6</v>
      </c>
      <c r="S13" s="51">
        <v>49.104999999999997</v>
      </c>
      <c r="T13" s="51">
        <v>45.044094011799999</v>
      </c>
      <c r="U13" s="51">
        <v>44.318209872551002</v>
      </c>
      <c r="V13" s="51">
        <v>57.798135426443999</v>
      </c>
      <c r="W13" s="51">
        <v>57.208599222126011</v>
      </c>
      <c r="X13" s="51">
        <v>51.576648104184997</v>
      </c>
      <c r="Y13" s="51">
        <v>54.212000000000003</v>
      </c>
      <c r="Z13" s="51">
        <v>57.1</v>
      </c>
      <c r="AA13" s="51">
        <v>59.271999999999998</v>
      </c>
      <c r="AB13" s="51">
        <v>52.375999999999998</v>
      </c>
      <c r="AC13" s="51">
        <v>58.503999999999998</v>
      </c>
      <c r="AD13" s="51">
        <v>66.260000000000005</v>
      </c>
    </row>
    <row r="14" spans="1:30" s="13" customFormat="1">
      <c r="A14" s="165" t="s">
        <v>94</v>
      </c>
      <c r="B14" s="58"/>
      <c r="C14" s="38"/>
      <c r="D14" s="38"/>
      <c r="E14" s="58">
        <v>152.41499999999999</v>
      </c>
      <c r="F14" s="58">
        <v>111.2</v>
      </c>
      <c r="G14" s="51">
        <v>138.6</v>
      </c>
      <c r="H14" s="51">
        <v>136</v>
      </c>
      <c r="I14" s="51">
        <v>125.7</v>
      </c>
      <c r="J14" s="51">
        <v>119.6</v>
      </c>
      <c r="K14" s="51">
        <v>114.6</v>
      </c>
      <c r="L14" s="51">
        <v>111.6</v>
      </c>
      <c r="M14" s="51">
        <v>108</v>
      </c>
      <c r="N14" s="51">
        <v>95</v>
      </c>
      <c r="O14" s="51">
        <v>92.1</v>
      </c>
      <c r="P14" s="51">
        <v>103.2</v>
      </c>
      <c r="Q14" s="51">
        <v>80.7</v>
      </c>
      <c r="R14" s="51">
        <v>62.3</v>
      </c>
      <c r="S14" s="51">
        <v>57.843000000000004</v>
      </c>
      <c r="T14" s="51">
        <v>48.091343420523742</v>
      </c>
      <c r="U14" s="51">
        <v>36.856442267881171</v>
      </c>
      <c r="V14" s="51">
        <v>34.656812459034242</v>
      </c>
      <c r="W14" s="51">
        <v>37.168986003711666</v>
      </c>
      <c r="X14" s="51">
        <v>42.399518233929285</v>
      </c>
      <c r="Y14" s="51">
        <v>37.871000000000002</v>
      </c>
      <c r="Z14" s="51">
        <v>43.7</v>
      </c>
      <c r="AA14" s="51">
        <v>45.491</v>
      </c>
      <c r="AB14" s="51">
        <v>40.064999999999998</v>
      </c>
      <c r="AC14" s="51">
        <v>42.863</v>
      </c>
      <c r="AD14" s="51">
        <v>54.540999999999997</v>
      </c>
    </row>
    <row r="15" spans="1:30" s="13" customFormat="1">
      <c r="A15" s="165" t="s">
        <v>95</v>
      </c>
      <c r="B15" s="58"/>
      <c r="C15" s="38"/>
      <c r="D15" s="38"/>
      <c r="E15" s="58">
        <v>84.272000000000006</v>
      </c>
      <c r="F15" s="58">
        <v>63.2</v>
      </c>
      <c r="G15" s="51">
        <v>41.7</v>
      </c>
      <c r="H15" s="51">
        <v>44</v>
      </c>
      <c r="I15" s="51">
        <v>42.3</v>
      </c>
      <c r="J15" s="51">
        <v>22.7</v>
      </c>
      <c r="K15" s="51">
        <v>76.2</v>
      </c>
      <c r="L15" s="51">
        <v>83.9</v>
      </c>
      <c r="M15" s="51">
        <v>43.8</v>
      </c>
      <c r="N15" s="51">
        <v>67.2</v>
      </c>
      <c r="O15" s="51">
        <v>113.8</v>
      </c>
      <c r="P15" s="51">
        <v>91.1</v>
      </c>
      <c r="Q15" s="51">
        <v>65.599999999999994</v>
      </c>
      <c r="R15" s="51">
        <v>89.4</v>
      </c>
      <c r="S15" s="51">
        <v>88.135999999999996</v>
      </c>
      <c r="T15" s="51">
        <v>98.596354741371044</v>
      </c>
      <c r="U15" s="51">
        <v>52.097912632045606</v>
      </c>
      <c r="V15" s="51">
        <v>106.94684633689405</v>
      </c>
      <c r="W15" s="51">
        <v>114.74217420298186</v>
      </c>
      <c r="X15" s="51">
        <v>118.17501505198179</v>
      </c>
      <c r="Y15" s="51">
        <v>126.316</v>
      </c>
      <c r="Z15" s="51">
        <v>95.6</v>
      </c>
      <c r="AA15" s="51">
        <v>71.185000000000002</v>
      </c>
      <c r="AB15" s="51">
        <v>86.754000000000005</v>
      </c>
      <c r="AC15" s="51">
        <v>93.731999999999999</v>
      </c>
      <c r="AD15" s="51">
        <v>113.54300000000001</v>
      </c>
    </row>
    <row r="16" spans="1:30" s="13" customFormat="1">
      <c r="A16" s="37" t="s">
        <v>96</v>
      </c>
      <c r="B16" s="150"/>
      <c r="C16" s="37"/>
      <c r="D16" s="37"/>
      <c r="E16" s="150">
        <f>SUM(E8:E15)</f>
        <v>4484.2690000000002</v>
      </c>
      <c r="F16" s="55">
        <v>3714.8</v>
      </c>
      <c r="G16" s="55">
        <v>3076.8</v>
      </c>
      <c r="H16" s="55">
        <v>3587</v>
      </c>
      <c r="I16" s="55">
        <v>3124.2</v>
      </c>
      <c r="J16" s="55">
        <v>2809.1</v>
      </c>
      <c r="K16" s="55">
        <v>2750.9</v>
      </c>
      <c r="L16" s="55">
        <v>3312</v>
      </c>
      <c r="M16" s="55">
        <v>2982.9</v>
      </c>
      <c r="N16" s="55">
        <v>2579.6</v>
      </c>
      <c r="O16" s="55">
        <v>2842.9</v>
      </c>
      <c r="P16" s="55">
        <v>2534</v>
      </c>
      <c r="Q16" s="55">
        <v>1962.4</v>
      </c>
      <c r="R16" s="55">
        <v>1791</v>
      </c>
      <c r="S16" s="55">
        <v>2194.9139999999998</v>
      </c>
      <c r="T16" s="55">
        <v>2214.9197587494045</v>
      </c>
      <c r="U16" s="55">
        <v>2301.3615425934472</v>
      </c>
      <c r="V16" s="55">
        <v>2109.1106656666047</v>
      </c>
      <c r="W16" s="55">
        <f t="shared" ref="W16:AD16" si="0">SUM(W8:W15)</f>
        <v>2207.6550923001751</v>
      </c>
      <c r="X16" s="55">
        <f t="shared" si="0"/>
        <v>2297.4658470331738</v>
      </c>
      <c r="Y16" s="55">
        <f t="shared" si="0"/>
        <v>2226.8609999999999</v>
      </c>
      <c r="Z16" s="55">
        <f t="shared" si="0"/>
        <v>2157.3999999999996</v>
      </c>
      <c r="AA16" s="55">
        <f t="shared" si="0"/>
        <v>2223.77</v>
      </c>
      <c r="AB16" s="55">
        <f t="shared" si="0"/>
        <v>2015.0119999999999</v>
      </c>
      <c r="AC16" s="55">
        <f t="shared" si="0"/>
        <v>2177.6619999999998</v>
      </c>
      <c r="AD16" s="55">
        <f t="shared" si="0"/>
        <v>2044.7539999999999</v>
      </c>
    </row>
    <row r="17" spans="1:30" s="13" customFormat="1">
      <c r="A17" s="39"/>
      <c r="B17" s="39"/>
      <c r="C17" s="39"/>
      <c r="D17" s="39"/>
      <c r="E17" s="39"/>
      <c r="F17" s="65"/>
      <c r="G17" s="52"/>
      <c r="H17" s="52"/>
      <c r="I17" s="52"/>
      <c r="J17" s="52"/>
      <c r="K17" s="52"/>
      <c r="L17" s="52"/>
      <c r="M17" s="52"/>
      <c r="N17" s="52" t="s">
        <v>24</v>
      </c>
      <c r="O17" s="52"/>
    </row>
    <row r="18" spans="1:30" s="13" customFormat="1">
      <c r="A18" s="37" t="s">
        <v>97</v>
      </c>
      <c r="B18" s="37"/>
      <c r="C18" s="37"/>
      <c r="D18" s="37"/>
      <c r="E18" s="37"/>
      <c r="F18" s="64"/>
      <c r="G18" s="55"/>
      <c r="H18" s="55"/>
      <c r="I18" s="55"/>
      <c r="J18" s="55"/>
      <c r="K18" s="55"/>
      <c r="L18" s="55"/>
      <c r="M18" s="55"/>
      <c r="N18" s="55" t="s">
        <v>24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</row>
    <row r="19" spans="1:30" s="13" customFormat="1" ht="14.25" customHeight="1">
      <c r="A19" s="165" t="s">
        <v>98</v>
      </c>
      <c r="B19" s="58"/>
      <c r="C19" s="38"/>
      <c r="D19" s="38"/>
      <c r="E19" s="58">
        <v>0</v>
      </c>
      <c r="F19" s="58">
        <v>0</v>
      </c>
      <c r="G19" s="58">
        <v>0</v>
      </c>
      <c r="H19" s="58">
        <v>0.3</v>
      </c>
      <c r="I19" s="58">
        <v>0.4</v>
      </c>
      <c r="J19" s="58">
        <v>0.4</v>
      </c>
      <c r="K19" s="58">
        <v>0</v>
      </c>
      <c r="L19" s="58">
        <v>0</v>
      </c>
      <c r="M19" s="58">
        <v>0</v>
      </c>
      <c r="N19" s="58">
        <v>0</v>
      </c>
      <c r="O19" s="58">
        <v>0</v>
      </c>
      <c r="P19" s="58">
        <v>0</v>
      </c>
      <c r="Q19" s="58">
        <v>0</v>
      </c>
      <c r="R19" s="58">
        <v>0</v>
      </c>
      <c r="S19" s="58">
        <v>0</v>
      </c>
      <c r="T19" s="58">
        <v>0</v>
      </c>
      <c r="U19" s="58">
        <v>0</v>
      </c>
      <c r="V19" s="58">
        <v>0</v>
      </c>
      <c r="W19" s="58">
        <v>0</v>
      </c>
      <c r="X19" s="58">
        <v>0</v>
      </c>
      <c r="Y19" s="58" t="s">
        <v>29</v>
      </c>
      <c r="Z19" s="58" t="s">
        <v>29</v>
      </c>
      <c r="AA19" s="58"/>
      <c r="AB19" s="58"/>
      <c r="AC19" s="58"/>
      <c r="AD19" s="58"/>
    </row>
    <row r="20" spans="1:30" s="13" customFormat="1" ht="14.25" customHeight="1">
      <c r="A20" s="165" t="s">
        <v>99</v>
      </c>
      <c r="B20" s="58"/>
      <c r="C20" s="38"/>
      <c r="D20" s="38"/>
      <c r="E20" s="58">
        <v>12.211</v>
      </c>
      <c r="F20" s="58">
        <v>6</v>
      </c>
      <c r="G20" s="58">
        <v>6.3</v>
      </c>
      <c r="H20" s="58">
        <v>6.9</v>
      </c>
      <c r="I20" s="58">
        <v>4.7</v>
      </c>
      <c r="J20" s="58">
        <v>7.7</v>
      </c>
      <c r="K20" s="58">
        <v>6</v>
      </c>
      <c r="L20" s="58">
        <v>6.7</v>
      </c>
      <c r="M20" s="58">
        <v>0</v>
      </c>
      <c r="N20" s="58">
        <v>0</v>
      </c>
      <c r="O20" s="58">
        <v>0</v>
      </c>
      <c r="P20" s="58">
        <v>0</v>
      </c>
      <c r="Q20" s="58">
        <v>0</v>
      </c>
      <c r="R20" s="58">
        <v>0</v>
      </c>
      <c r="S20" s="58">
        <v>0</v>
      </c>
      <c r="T20" s="58">
        <v>0</v>
      </c>
      <c r="U20" s="58">
        <v>0</v>
      </c>
      <c r="V20" s="58">
        <v>0</v>
      </c>
      <c r="W20" s="58">
        <v>0</v>
      </c>
      <c r="X20" s="58">
        <v>0</v>
      </c>
      <c r="Y20" s="58" t="s">
        <v>29</v>
      </c>
      <c r="Z20" s="58" t="s">
        <v>29</v>
      </c>
      <c r="AA20" s="58"/>
      <c r="AB20" s="58"/>
      <c r="AC20" s="58"/>
      <c r="AD20" s="58"/>
    </row>
    <row r="21" spans="1:30" s="13" customFormat="1">
      <c r="A21" s="165" t="s">
        <v>93</v>
      </c>
      <c r="B21" s="58"/>
      <c r="C21" s="38"/>
      <c r="D21" s="38"/>
      <c r="E21" s="58">
        <v>5.0110000000000001</v>
      </c>
      <c r="F21" s="58">
        <v>4.5</v>
      </c>
      <c r="G21" s="58">
        <v>8.8000000000000007</v>
      </c>
      <c r="H21" s="58">
        <v>10.5</v>
      </c>
      <c r="I21" s="58">
        <v>9.5</v>
      </c>
      <c r="J21" s="58">
        <v>34.4</v>
      </c>
      <c r="K21" s="58">
        <v>32.1</v>
      </c>
      <c r="L21" s="58">
        <v>25.4</v>
      </c>
      <c r="M21" s="58">
        <v>25.8</v>
      </c>
      <c r="N21" s="58">
        <v>24</v>
      </c>
      <c r="O21" s="58">
        <v>21.4</v>
      </c>
      <c r="P21" s="58">
        <v>19.600000000000001</v>
      </c>
      <c r="Q21" s="58">
        <v>23.6</v>
      </c>
      <c r="R21" s="58">
        <v>20.7</v>
      </c>
      <c r="S21" s="58">
        <v>15.686999999999999</v>
      </c>
      <c r="T21" s="58">
        <v>12.095331129999998</v>
      </c>
      <c r="U21" s="58">
        <v>8.9342062099999993</v>
      </c>
      <c r="V21" s="58">
        <v>19.408239720000001</v>
      </c>
      <c r="W21" s="58">
        <v>11.077761669999999</v>
      </c>
      <c r="X21" s="58">
        <v>6.5382865999999993</v>
      </c>
      <c r="Y21" s="58">
        <v>2.82</v>
      </c>
      <c r="Z21" s="58">
        <v>1.6</v>
      </c>
      <c r="AA21" s="58">
        <v>1.2370000000000001</v>
      </c>
      <c r="AB21" s="58">
        <v>13.837</v>
      </c>
      <c r="AC21" s="58">
        <v>27.712</v>
      </c>
      <c r="AD21" s="58">
        <v>66.95</v>
      </c>
    </row>
    <row r="22" spans="1:30" s="13" customFormat="1">
      <c r="A22" s="165" t="s">
        <v>94</v>
      </c>
      <c r="B22" s="58"/>
      <c r="C22" s="38"/>
      <c r="D22" s="38"/>
      <c r="E22" s="58">
        <v>0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0</v>
      </c>
      <c r="L22" s="58">
        <v>0</v>
      </c>
      <c r="M22" s="58">
        <v>0</v>
      </c>
      <c r="N22" s="58">
        <v>3.5</v>
      </c>
      <c r="O22" s="58">
        <v>4.4000000000000004</v>
      </c>
      <c r="P22" s="58">
        <v>4.5999999999999996</v>
      </c>
      <c r="Q22" s="58">
        <v>4.0999999999999996</v>
      </c>
      <c r="R22" s="58">
        <v>19</v>
      </c>
      <c r="S22" s="58">
        <v>17.350000000000001</v>
      </c>
      <c r="T22" s="58">
        <v>15.834396662131997</v>
      </c>
      <c r="U22" s="58">
        <v>3.7499217884387388</v>
      </c>
      <c r="V22" s="58">
        <v>4.0303640283759998</v>
      </c>
      <c r="W22" s="58">
        <v>4.6781315440300002</v>
      </c>
      <c r="X22" s="58">
        <v>7.6332429466170009</v>
      </c>
      <c r="Y22" s="58">
        <v>15.369</v>
      </c>
      <c r="Z22" s="58">
        <v>20.9</v>
      </c>
      <c r="AA22" s="58">
        <v>23.891999999999999</v>
      </c>
      <c r="AB22" s="58">
        <v>23.363</v>
      </c>
      <c r="AC22" s="58">
        <v>25.835000000000001</v>
      </c>
      <c r="AD22" s="58">
        <v>27.402000000000001</v>
      </c>
    </row>
    <row r="23" spans="1:30" s="13" customFormat="1">
      <c r="A23" s="165" t="s">
        <v>100</v>
      </c>
      <c r="B23" s="58"/>
      <c r="C23" s="38"/>
      <c r="D23" s="38"/>
      <c r="E23" s="58">
        <v>334.62900000000002</v>
      </c>
      <c r="F23" s="58">
        <v>0</v>
      </c>
      <c r="G23" s="58">
        <v>0</v>
      </c>
      <c r="H23" s="58">
        <v>0</v>
      </c>
      <c r="I23" s="58">
        <v>596.20000000000005</v>
      </c>
      <c r="J23" s="58">
        <v>631.79999999999995</v>
      </c>
      <c r="K23" s="58">
        <v>668.6</v>
      </c>
      <c r="L23" s="58">
        <v>663.6</v>
      </c>
      <c r="M23" s="58">
        <v>654.70000000000005</v>
      </c>
      <c r="N23" s="58">
        <v>593</v>
      </c>
      <c r="O23" s="58">
        <v>587</v>
      </c>
      <c r="P23" s="58">
        <v>584.70000000000005</v>
      </c>
      <c r="Q23" s="58">
        <v>555.29999999999995</v>
      </c>
      <c r="R23" s="58">
        <v>551.6</v>
      </c>
      <c r="S23" s="58">
        <v>560.673</v>
      </c>
      <c r="T23" s="58">
        <v>562.63527071831118</v>
      </c>
      <c r="U23" s="58">
        <v>546.13858296715705</v>
      </c>
      <c r="V23" s="58">
        <v>547.41930826864859</v>
      </c>
      <c r="W23" s="58">
        <v>543.1371317816587</v>
      </c>
      <c r="X23" s="58">
        <v>538.74554692950915</v>
      </c>
      <c r="Y23" s="58">
        <v>530.61</v>
      </c>
      <c r="Z23" s="58">
        <v>530.1</v>
      </c>
      <c r="AA23" s="58">
        <v>529.28899999999999</v>
      </c>
      <c r="AB23" s="58">
        <v>562.72</v>
      </c>
      <c r="AC23" s="58">
        <v>526.84</v>
      </c>
      <c r="AD23" s="58">
        <v>521.53899999999999</v>
      </c>
    </row>
    <row r="24" spans="1:30" s="13" customFormat="1">
      <c r="A24" s="165" t="s">
        <v>101</v>
      </c>
      <c r="B24" s="58"/>
      <c r="C24" s="38"/>
      <c r="D24" s="38"/>
      <c r="E24" s="58">
        <v>89.980999999999995</v>
      </c>
      <c r="F24" s="58">
        <v>99.6</v>
      </c>
      <c r="G24" s="58">
        <v>97.2</v>
      </c>
      <c r="H24" s="58">
        <v>96.7</v>
      </c>
      <c r="I24" s="58">
        <v>87.6</v>
      </c>
      <c r="J24" s="58">
        <v>87.8</v>
      </c>
      <c r="K24" s="58">
        <v>95.3</v>
      </c>
      <c r="L24" s="58">
        <v>98.4</v>
      </c>
      <c r="M24" s="58">
        <v>99.7</v>
      </c>
      <c r="N24" s="58">
        <v>102.1</v>
      </c>
      <c r="O24" s="58">
        <v>108.7</v>
      </c>
      <c r="P24" s="58">
        <v>131.69999999999999</v>
      </c>
      <c r="Q24" s="58">
        <v>135.30000000000001</v>
      </c>
      <c r="R24" s="58">
        <v>144.1</v>
      </c>
      <c r="S24" s="58">
        <v>172.36799999999999</v>
      </c>
      <c r="T24" s="58">
        <v>169.67649205326001</v>
      </c>
      <c r="U24" s="58">
        <v>162.35466696374803</v>
      </c>
      <c r="V24" s="58">
        <v>157.29858283310602</v>
      </c>
      <c r="W24" s="58">
        <v>155.495333852328</v>
      </c>
      <c r="X24" s="58">
        <v>144.75907266000002</v>
      </c>
      <c r="Y24" s="58">
        <v>145.41300000000001</v>
      </c>
      <c r="Z24" s="58">
        <v>146.4</v>
      </c>
      <c r="AA24" s="58">
        <v>148.691</v>
      </c>
      <c r="AB24" s="58">
        <v>156.07</v>
      </c>
      <c r="AC24" s="58">
        <v>154.00299999999999</v>
      </c>
      <c r="AD24" s="58">
        <v>154.815</v>
      </c>
    </row>
    <row r="25" spans="1:30" s="13" customFormat="1">
      <c r="A25" s="165" t="s">
        <v>102</v>
      </c>
      <c r="B25" s="58"/>
      <c r="C25" s="38"/>
      <c r="D25" s="38"/>
      <c r="E25" s="58">
        <v>62.28</v>
      </c>
      <c r="F25" s="58">
        <v>60.9</v>
      </c>
      <c r="G25" s="58">
        <v>35.299999999999997</v>
      </c>
      <c r="H25" s="58">
        <v>30</v>
      </c>
      <c r="I25" s="58">
        <v>20.7</v>
      </c>
      <c r="J25" s="58">
        <v>16.2</v>
      </c>
      <c r="K25" s="58">
        <v>12.2</v>
      </c>
      <c r="L25" s="58">
        <v>11.1</v>
      </c>
      <c r="M25" s="58">
        <v>12.7</v>
      </c>
      <c r="N25" s="58">
        <v>9.4</v>
      </c>
      <c r="O25" s="58">
        <v>8.9</v>
      </c>
      <c r="P25" s="58">
        <v>16</v>
      </c>
      <c r="Q25" s="58">
        <v>11.1</v>
      </c>
      <c r="R25" s="58">
        <v>9.1999999999999993</v>
      </c>
      <c r="S25" s="58">
        <v>6.6260000000000003</v>
      </c>
      <c r="T25" s="58">
        <v>2.6312229752731486</v>
      </c>
      <c r="U25" s="58">
        <v>1.1655384512628792</v>
      </c>
      <c r="V25" s="58">
        <v>1.1960131337670563</v>
      </c>
      <c r="W25" s="58">
        <v>1.1244965104012232</v>
      </c>
      <c r="X25" s="58">
        <v>1.1293474828678221</v>
      </c>
      <c r="Y25" s="58">
        <v>0.75</v>
      </c>
      <c r="Z25" s="58">
        <v>0.7</v>
      </c>
      <c r="AA25" s="58">
        <v>0.65800000000000003</v>
      </c>
      <c r="AB25" s="58">
        <v>0.63500000000000001</v>
      </c>
      <c r="AC25" s="58">
        <v>8.6989999999999998</v>
      </c>
      <c r="AD25" s="58">
        <v>17.253</v>
      </c>
    </row>
    <row r="26" spans="1:30" s="13" customFormat="1">
      <c r="A26" s="165" t="s">
        <v>103</v>
      </c>
      <c r="B26" s="58"/>
      <c r="C26" s="38"/>
      <c r="D26" s="38"/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5.3</v>
      </c>
      <c r="O26" s="58">
        <v>5.0999999999999996</v>
      </c>
      <c r="P26" s="58">
        <v>4.8</v>
      </c>
      <c r="Q26" s="58">
        <v>4.5</v>
      </c>
      <c r="R26" s="58">
        <v>4.3</v>
      </c>
      <c r="S26" s="58">
        <v>4.226</v>
      </c>
      <c r="T26" s="58">
        <v>4.211793361654796</v>
      </c>
      <c r="U26" s="58">
        <v>4.2051105180542221</v>
      </c>
      <c r="V26" s="58">
        <v>4.2035434951619246</v>
      </c>
      <c r="W26" s="58">
        <v>4.2028076079493042</v>
      </c>
      <c r="X26" s="58">
        <v>4.2063200784597425</v>
      </c>
      <c r="Y26" s="58" t="s">
        <v>32</v>
      </c>
      <c r="Z26" s="58" t="s">
        <v>29</v>
      </c>
      <c r="AA26" s="58">
        <v>0</v>
      </c>
      <c r="AB26" s="58" t="s">
        <v>32</v>
      </c>
      <c r="AC26" s="58" t="s">
        <v>32</v>
      </c>
      <c r="AD26" s="58">
        <v>0</v>
      </c>
    </row>
    <row r="27" spans="1:30" s="13" customFormat="1">
      <c r="A27" s="165" t="s">
        <v>104</v>
      </c>
      <c r="B27" s="58"/>
      <c r="C27" s="38"/>
      <c r="D27" s="38"/>
      <c r="E27" s="58">
        <v>66.063999999999993</v>
      </c>
      <c r="F27" s="58">
        <v>63.9</v>
      </c>
      <c r="G27" s="58">
        <v>61.3</v>
      </c>
      <c r="H27" s="58">
        <v>47.7</v>
      </c>
      <c r="I27" s="58">
        <v>40.700000000000003</v>
      </c>
      <c r="J27" s="58">
        <v>38.5</v>
      </c>
      <c r="K27" s="58">
        <v>31.3</v>
      </c>
      <c r="L27" s="58">
        <v>29.8</v>
      </c>
      <c r="M27" s="58">
        <v>38.200000000000003</v>
      </c>
      <c r="N27" s="58">
        <v>35.299999999999997</v>
      </c>
      <c r="O27" s="58">
        <v>36.9</v>
      </c>
      <c r="P27" s="58">
        <v>37.1</v>
      </c>
      <c r="Q27" s="58">
        <v>36.1</v>
      </c>
      <c r="R27" s="58">
        <v>32.4</v>
      </c>
      <c r="S27" s="58">
        <v>30.635999999999999</v>
      </c>
      <c r="T27" s="58">
        <v>29.844775052539951</v>
      </c>
      <c r="U27" s="58">
        <v>28.987704542940669</v>
      </c>
      <c r="V27" s="58">
        <v>27.515680768619742</v>
      </c>
      <c r="W27" s="58">
        <v>27.944768330555245</v>
      </c>
      <c r="X27" s="58">
        <v>25.890314098052709</v>
      </c>
      <c r="Y27" s="58">
        <v>25.361000000000001</v>
      </c>
      <c r="Z27" s="58">
        <v>23.2</v>
      </c>
      <c r="AA27" s="58">
        <v>22.614999999999998</v>
      </c>
      <c r="AB27" s="58">
        <v>21.274999999999999</v>
      </c>
      <c r="AC27" s="58">
        <v>21.442</v>
      </c>
      <c r="AD27" s="58">
        <v>20.405000000000001</v>
      </c>
    </row>
    <row r="28" spans="1:30" s="13" customFormat="1">
      <c r="A28" s="165" t="s">
        <v>105</v>
      </c>
      <c r="B28" s="58"/>
      <c r="C28" s="38"/>
      <c r="D28" s="38"/>
      <c r="E28" s="58">
        <v>1756.2909999999999</v>
      </c>
      <c r="F28" s="58">
        <v>1237.7</v>
      </c>
      <c r="G28" s="58">
        <v>1231.8</v>
      </c>
      <c r="H28" s="58">
        <v>1210.3</v>
      </c>
      <c r="I28" s="58">
        <v>1170.5</v>
      </c>
      <c r="J28" s="58">
        <v>1167.3</v>
      </c>
      <c r="K28" s="58">
        <v>1104.0999999999999</v>
      </c>
      <c r="L28" s="58">
        <v>1111</v>
      </c>
      <c r="M28" s="58">
        <v>1108.0999999999999</v>
      </c>
      <c r="N28" s="58">
        <v>1062.0999999999999</v>
      </c>
      <c r="O28" s="58">
        <v>1093.7</v>
      </c>
      <c r="P28" s="58">
        <v>1113.5</v>
      </c>
      <c r="Q28" s="58">
        <v>1130.4000000000001</v>
      </c>
      <c r="R28" s="58">
        <v>1111.9000000000001</v>
      </c>
      <c r="S28" s="58">
        <v>1074.6949999999999</v>
      </c>
      <c r="T28" s="58">
        <v>969.48477550713471</v>
      </c>
      <c r="U28" s="58">
        <v>911.22115175025067</v>
      </c>
      <c r="V28" s="58">
        <v>883.27275337053072</v>
      </c>
      <c r="W28" s="58">
        <v>888.96767556216776</v>
      </c>
      <c r="X28" s="58">
        <v>863.15988119090605</v>
      </c>
      <c r="Y28" s="58">
        <v>829.81299999999999</v>
      </c>
      <c r="Z28" s="58">
        <v>796</v>
      </c>
      <c r="AA28" s="58">
        <v>765.97</v>
      </c>
      <c r="AB28" s="58">
        <v>732.41099999999994</v>
      </c>
      <c r="AC28" s="58">
        <v>731.91300000000001</v>
      </c>
      <c r="AD28" s="58">
        <v>734.49</v>
      </c>
    </row>
    <row r="29" spans="1:30" s="13" customFormat="1">
      <c r="A29" s="165" t="s">
        <v>106</v>
      </c>
      <c r="B29" s="58"/>
      <c r="C29" s="38"/>
      <c r="D29" s="38"/>
      <c r="E29" s="58">
        <v>87.492999999999995</v>
      </c>
      <c r="F29" s="58">
        <v>93.7</v>
      </c>
      <c r="G29" s="58">
        <v>80</v>
      </c>
      <c r="H29" s="58">
        <v>68.599999999999994</v>
      </c>
      <c r="I29" s="58">
        <v>42.1</v>
      </c>
      <c r="J29" s="58">
        <v>36.1</v>
      </c>
      <c r="K29" s="58">
        <v>27.6</v>
      </c>
      <c r="L29" s="58">
        <v>35.1</v>
      </c>
      <c r="M29" s="58">
        <v>34.9</v>
      </c>
      <c r="N29" s="58">
        <v>60.4</v>
      </c>
      <c r="O29" s="58">
        <v>55.8</v>
      </c>
      <c r="P29" s="58">
        <v>51.7</v>
      </c>
      <c r="Q29" s="58">
        <v>54.6</v>
      </c>
      <c r="R29" s="58">
        <v>48.6</v>
      </c>
      <c r="S29" s="58">
        <v>44.804000000000002</v>
      </c>
      <c r="T29" s="58">
        <v>44.034633790291153</v>
      </c>
      <c r="U29" s="58">
        <v>62.767454887957406</v>
      </c>
      <c r="V29" s="58">
        <v>56.621952021337989</v>
      </c>
      <c r="W29" s="58">
        <v>52.583077715777989</v>
      </c>
      <c r="X29" s="58">
        <v>53.815459764128995</v>
      </c>
      <c r="Y29" s="58">
        <v>63.526000000000003</v>
      </c>
      <c r="Z29" s="58">
        <v>56.6</v>
      </c>
      <c r="AA29" s="58">
        <v>48.935000000000002</v>
      </c>
      <c r="AB29" s="58">
        <v>49.243000000000002</v>
      </c>
      <c r="AC29" s="58">
        <v>64.778999999999996</v>
      </c>
      <c r="AD29" s="58">
        <v>136.63999999999999</v>
      </c>
    </row>
    <row r="30" spans="1:30" s="13" customFormat="1">
      <c r="A30" s="37" t="s">
        <v>107</v>
      </c>
      <c r="B30" s="55"/>
      <c r="C30" s="37"/>
      <c r="D30" s="37"/>
      <c r="E30" s="55">
        <f>SUM(E19:E29)</f>
        <v>2413.9599999999996</v>
      </c>
      <c r="F30" s="55">
        <v>1569.2</v>
      </c>
      <c r="G30" s="55">
        <v>1520.7</v>
      </c>
      <c r="H30" s="55">
        <v>1470.9</v>
      </c>
      <c r="I30" s="55">
        <v>1972.4</v>
      </c>
      <c r="J30" s="55">
        <v>2020.3</v>
      </c>
      <c r="K30" s="55">
        <v>1977.1</v>
      </c>
      <c r="L30" s="55">
        <v>1981.1</v>
      </c>
      <c r="M30" s="55">
        <v>1974.2</v>
      </c>
      <c r="N30" s="55">
        <v>1895.2</v>
      </c>
      <c r="O30" s="55">
        <v>1921.9</v>
      </c>
      <c r="P30" s="55">
        <v>1963.6</v>
      </c>
      <c r="Q30" s="55">
        <v>1955.1</v>
      </c>
      <c r="R30" s="55">
        <v>1941.7</v>
      </c>
      <c r="S30" s="55">
        <v>1927.0650000000001</v>
      </c>
      <c r="T30" s="55">
        <v>1810.4486912505968</v>
      </c>
      <c r="U30" s="55">
        <v>1729.5243380798097</v>
      </c>
      <c r="V30" s="55">
        <v>1700.9664376395481</v>
      </c>
      <c r="W30" s="55">
        <f t="shared" ref="W30:AD30" si="1">SUM(W19:W29)</f>
        <v>1689.2111845748682</v>
      </c>
      <c r="X30" s="55">
        <f t="shared" si="1"/>
        <v>1645.8774717505414</v>
      </c>
      <c r="Y30" s="55">
        <f t="shared" si="1"/>
        <v>1613.662</v>
      </c>
      <c r="Z30" s="55">
        <f t="shared" si="1"/>
        <v>1575.5</v>
      </c>
      <c r="AA30" s="55">
        <f t="shared" si="1"/>
        <v>1541.287</v>
      </c>
      <c r="AB30" s="55">
        <f t="shared" si="1"/>
        <v>1559.5539999999999</v>
      </c>
      <c r="AC30" s="55">
        <f t="shared" si="1"/>
        <v>1561.223</v>
      </c>
      <c r="AD30" s="55">
        <f t="shared" si="1"/>
        <v>1679.4939999999997</v>
      </c>
    </row>
    <row r="31" spans="1:30" s="13" customFormat="1">
      <c r="A31" s="40"/>
      <c r="B31" s="40"/>
      <c r="C31" s="40"/>
      <c r="D31" s="40"/>
      <c r="E31" s="40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>
        <v>0</v>
      </c>
      <c r="V31" s="56"/>
      <c r="W31" s="56"/>
      <c r="X31" s="56"/>
      <c r="Y31" s="56"/>
      <c r="Z31" s="56"/>
      <c r="AA31" s="56"/>
      <c r="AB31" s="56"/>
      <c r="AC31" s="56"/>
      <c r="AD31" s="56"/>
    </row>
    <row r="32" spans="1:30">
      <c r="A32" s="37" t="s">
        <v>108</v>
      </c>
      <c r="B32" s="151"/>
      <c r="C32" s="37"/>
      <c r="D32" s="37"/>
      <c r="E32" s="151">
        <f>E30+E16</f>
        <v>6898.2289999999994</v>
      </c>
      <c r="F32" s="55">
        <v>5284</v>
      </c>
      <c r="G32" s="55">
        <v>4597.5</v>
      </c>
      <c r="H32" s="55">
        <v>5057.8</v>
      </c>
      <c r="I32" s="55">
        <v>5096.6000000000004</v>
      </c>
      <c r="J32" s="55">
        <v>4829.3</v>
      </c>
      <c r="K32" s="55">
        <v>4728</v>
      </c>
      <c r="L32" s="55">
        <v>5293</v>
      </c>
      <c r="M32" s="55">
        <v>4957.2</v>
      </c>
      <c r="N32" s="55">
        <v>4474.8</v>
      </c>
      <c r="O32" s="55">
        <v>4764.8</v>
      </c>
      <c r="P32" s="55">
        <v>4497.6000000000004</v>
      </c>
      <c r="Q32" s="55">
        <v>3917.6</v>
      </c>
      <c r="R32" s="55">
        <v>3732.7</v>
      </c>
      <c r="S32" s="55">
        <v>4121.9789999999994</v>
      </c>
      <c r="T32" s="55">
        <v>4025.3684500000013</v>
      </c>
      <c r="U32" s="55">
        <v>4030.8858806732569</v>
      </c>
      <c r="V32" s="55">
        <f>V30+V16</f>
        <v>3810.0771033061528</v>
      </c>
      <c r="W32" s="55">
        <f t="shared" ref="W32:AD32" si="2">SUM(W30,W16)</f>
        <v>3896.8662768750432</v>
      </c>
      <c r="X32" s="55">
        <f t="shared" si="2"/>
        <v>3943.3433187837154</v>
      </c>
      <c r="Y32" s="55">
        <f t="shared" si="2"/>
        <v>3840.5230000000001</v>
      </c>
      <c r="Z32" s="55">
        <f t="shared" si="2"/>
        <v>3732.8999999999996</v>
      </c>
      <c r="AA32" s="55">
        <f t="shared" si="2"/>
        <v>3765.0569999999998</v>
      </c>
      <c r="AB32" s="55">
        <f t="shared" si="2"/>
        <v>3574.5659999999998</v>
      </c>
      <c r="AC32" s="55">
        <f t="shared" si="2"/>
        <v>3738.8849999999998</v>
      </c>
      <c r="AD32" s="55">
        <f t="shared" si="2"/>
        <v>3724.2479999999996</v>
      </c>
    </row>
    <row r="33" spans="1:30">
      <c r="A33" s="41"/>
      <c r="F33" s="66"/>
      <c r="G33" s="57"/>
      <c r="H33" s="57"/>
      <c r="I33" s="57"/>
      <c r="J33" s="57"/>
      <c r="K33" s="57"/>
      <c r="L33" s="57"/>
      <c r="M33" s="57"/>
      <c r="N33" s="57" t="s">
        <v>24</v>
      </c>
      <c r="O33" s="57"/>
    </row>
    <row r="34" spans="1:30" ht="16.5">
      <c r="A34" s="41" t="s">
        <v>109</v>
      </c>
      <c r="B34" s="42"/>
      <c r="C34" s="42"/>
      <c r="D34" s="42"/>
      <c r="E34" s="42"/>
      <c r="F34" s="66"/>
      <c r="G34" s="57"/>
      <c r="H34" s="57"/>
      <c r="I34" s="57"/>
      <c r="J34" s="57"/>
      <c r="K34" s="57"/>
      <c r="L34" s="57"/>
      <c r="M34" s="57"/>
      <c r="N34" s="57" t="s">
        <v>24</v>
      </c>
      <c r="O34" s="57"/>
    </row>
    <row r="35" spans="1:30">
      <c r="A35" s="37" t="s">
        <v>110</v>
      </c>
      <c r="B35" s="37"/>
      <c r="C35" s="37"/>
      <c r="D35" s="37"/>
      <c r="E35" s="37"/>
      <c r="F35" s="64"/>
      <c r="G35" s="55"/>
      <c r="H35" s="55"/>
      <c r="I35" s="55"/>
      <c r="J35" s="55"/>
      <c r="K35" s="55"/>
      <c r="L35" s="55"/>
      <c r="M35" s="55"/>
      <c r="N35" s="55" t="s">
        <v>24</v>
      </c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</row>
    <row r="36" spans="1:30">
      <c r="A36" s="166" t="s">
        <v>111</v>
      </c>
      <c r="B36" s="43"/>
      <c r="C36" s="43"/>
      <c r="D36" s="43"/>
      <c r="E36" s="43">
        <v>312.529</v>
      </c>
      <c r="F36" s="58">
        <v>402.3</v>
      </c>
      <c r="G36" s="58">
        <v>490.4</v>
      </c>
      <c r="H36" s="58">
        <v>509.4</v>
      </c>
      <c r="I36" s="58">
        <v>0</v>
      </c>
      <c r="J36" s="58">
        <v>0</v>
      </c>
      <c r="K36" s="58">
        <v>0</v>
      </c>
      <c r="L36" s="58">
        <v>0</v>
      </c>
      <c r="M36" s="58">
        <v>0</v>
      </c>
      <c r="N36" s="58">
        <v>0</v>
      </c>
      <c r="O36" s="58">
        <v>0</v>
      </c>
      <c r="P36" s="58">
        <v>0</v>
      </c>
      <c r="Q36" s="58">
        <v>0</v>
      </c>
      <c r="R36" s="58">
        <v>0</v>
      </c>
      <c r="S36" s="58">
        <v>0</v>
      </c>
      <c r="T36" s="58">
        <v>0</v>
      </c>
      <c r="U36" s="58">
        <v>0</v>
      </c>
      <c r="V36" s="58">
        <v>0</v>
      </c>
      <c r="W36" s="58">
        <v>0</v>
      </c>
      <c r="X36" s="58">
        <v>0</v>
      </c>
      <c r="Y36" s="58">
        <v>0</v>
      </c>
      <c r="Z36" s="58">
        <v>0</v>
      </c>
      <c r="AA36" s="58">
        <v>0</v>
      </c>
      <c r="AB36" s="58"/>
      <c r="AC36" s="58"/>
      <c r="AD36" s="58"/>
    </row>
    <row r="37" spans="1:30">
      <c r="A37" s="166" t="s">
        <v>112</v>
      </c>
      <c r="B37" s="43"/>
      <c r="C37" s="43"/>
      <c r="D37" s="43"/>
      <c r="E37" s="43">
        <v>612.50599999999997</v>
      </c>
      <c r="F37" s="58">
        <v>724.7</v>
      </c>
      <c r="G37" s="51">
        <v>1514.7</v>
      </c>
      <c r="H37" s="51">
        <v>1520.4</v>
      </c>
      <c r="I37" s="51">
        <v>353.6</v>
      </c>
      <c r="J37" s="51">
        <v>106.8</v>
      </c>
      <c r="K37" s="51">
        <v>330</v>
      </c>
      <c r="L37" s="51">
        <v>202.4</v>
      </c>
      <c r="M37" s="51">
        <v>218.6</v>
      </c>
      <c r="N37" s="51">
        <v>242.7</v>
      </c>
      <c r="O37" s="51">
        <v>687.7</v>
      </c>
      <c r="P37" s="51">
        <v>721.6</v>
      </c>
      <c r="Q37" s="51">
        <v>693.7</v>
      </c>
      <c r="R37" s="51">
        <v>723</v>
      </c>
      <c r="S37" s="51">
        <v>26.962</v>
      </c>
      <c r="T37" s="51">
        <v>58.632070800000001</v>
      </c>
      <c r="U37" s="51">
        <v>161.49738907</v>
      </c>
      <c r="V37" s="51">
        <v>194.6129804</v>
      </c>
      <c r="W37" s="51">
        <v>74.940493979999999</v>
      </c>
      <c r="X37" s="51">
        <v>100.38355007</v>
      </c>
      <c r="Y37" s="51">
        <v>9.4499999999999993</v>
      </c>
      <c r="Z37" s="51">
        <v>32.700000000000003</v>
      </c>
      <c r="AA37" s="51">
        <v>9.4960000000000004</v>
      </c>
      <c r="AB37" s="51">
        <v>0.58499999999999996</v>
      </c>
      <c r="AC37" s="51">
        <v>86.015000000000001</v>
      </c>
      <c r="AD37" s="51">
        <v>104.776</v>
      </c>
    </row>
    <row r="38" spans="1:30">
      <c r="A38" s="166" t="s">
        <v>113</v>
      </c>
      <c r="B38" s="43"/>
      <c r="C38" s="43"/>
      <c r="D38" s="43"/>
      <c r="E38" s="43">
        <v>4.5640000000000001</v>
      </c>
      <c r="F38" s="58">
        <v>0</v>
      </c>
      <c r="G38" s="51">
        <v>0</v>
      </c>
      <c r="H38" s="51">
        <v>0</v>
      </c>
      <c r="I38" s="51">
        <v>28.2</v>
      </c>
      <c r="J38" s="51">
        <v>0</v>
      </c>
      <c r="K38" s="51">
        <v>3.6</v>
      </c>
      <c r="L38" s="51">
        <v>0</v>
      </c>
      <c r="M38" s="51">
        <v>1.8</v>
      </c>
      <c r="N38" s="51">
        <v>16</v>
      </c>
      <c r="O38" s="51">
        <v>2.8</v>
      </c>
      <c r="P38" s="51">
        <v>2.8</v>
      </c>
      <c r="Q38" s="51">
        <v>2</v>
      </c>
      <c r="R38" s="51">
        <v>5.5</v>
      </c>
      <c r="S38" s="51">
        <v>8.7590000000000003</v>
      </c>
      <c r="T38" s="51">
        <v>37.85816122</v>
      </c>
      <c r="U38" s="51">
        <v>3.1740226000000002</v>
      </c>
      <c r="V38" s="51">
        <v>2.0671003300000002</v>
      </c>
      <c r="W38" s="51">
        <v>2.1815999999999998E-4</v>
      </c>
      <c r="X38" s="51">
        <v>2.6333325100000002</v>
      </c>
      <c r="Y38" s="51">
        <v>0.65800000000000003</v>
      </c>
      <c r="Z38" s="51">
        <v>12.9</v>
      </c>
      <c r="AA38" s="51">
        <v>14.109</v>
      </c>
      <c r="AB38" s="51">
        <v>12.836</v>
      </c>
      <c r="AC38" s="51">
        <v>4.2009999999999996</v>
      </c>
      <c r="AD38" s="51">
        <v>8.2189999999999994</v>
      </c>
    </row>
    <row r="39" spans="1:30">
      <c r="A39" s="166" t="s">
        <v>114</v>
      </c>
      <c r="B39" s="43"/>
      <c r="C39" s="43"/>
      <c r="D39" s="43"/>
      <c r="E39" s="43">
        <v>1021.503</v>
      </c>
      <c r="F39" s="58">
        <v>830.4</v>
      </c>
      <c r="G39" s="51">
        <v>305.7</v>
      </c>
      <c r="H39" s="51">
        <v>347.7</v>
      </c>
      <c r="I39" s="51">
        <v>491.8</v>
      </c>
      <c r="J39" s="51">
        <v>398.4</v>
      </c>
      <c r="K39" s="51">
        <v>430.9</v>
      </c>
      <c r="L39" s="51">
        <v>553.1</v>
      </c>
      <c r="M39" s="51">
        <v>671.4</v>
      </c>
      <c r="N39" s="51">
        <v>624</v>
      </c>
      <c r="O39" s="51">
        <v>616.20000000000005</v>
      </c>
      <c r="P39" s="51">
        <v>655.4</v>
      </c>
      <c r="Q39" s="51">
        <v>753.4</v>
      </c>
      <c r="R39" s="51">
        <v>679.2</v>
      </c>
      <c r="S39" s="51">
        <v>756.41499999999996</v>
      </c>
      <c r="T39" s="51">
        <v>909.80999563093678</v>
      </c>
      <c r="U39" s="51">
        <v>867.91921732479921</v>
      </c>
      <c r="V39" s="51">
        <v>650.76025819714619</v>
      </c>
      <c r="W39" s="51">
        <v>630.06981839297805</v>
      </c>
      <c r="X39" s="51">
        <v>726.83793500038416</v>
      </c>
      <c r="Y39" s="51">
        <v>585.93200000000002</v>
      </c>
      <c r="Z39" s="51">
        <v>572.4</v>
      </c>
      <c r="AA39" s="51">
        <v>502.94099999999997</v>
      </c>
      <c r="AB39" s="51">
        <v>643.21299999999997</v>
      </c>
      <c r="AC39" s="51">
        <v>736.93299999999999</v>
      </c>
      <c r="AD39" s="51">
        <v>748.40700000000004</v>
      </c>
    </row>
    <row r="40" spans="1:30">
      <c r="A40" s="166" t="s">
        <v>115</v>
      </c>
      <c r="B40" s="43"/>
      <c r="C40" s="43"/>
      <c r="D40" s="43"/>
      <c r="E40" s="43">
        <v>1956.829</v>
      </c>
      <c r="F40" s="58">
        <v>1581.3</v>
      </c>
      <c r="G40" s="51">
        <v>1684.6</v>
      </c>
      <c r="H40" s="51">
        <v>2030</v>
      </c>
      <c r="I40" s="51">
        <v>1995.6</v>
      </c>
      <c r="J40" s="51">
        <v>1856.8</v>
      </c>
      <c r="K40" s="51">
        <v>1975.1</v>
      </c>
      <c r="L40" s="51">
        <v>2210.3000000000002</v>
      </c>
      <c r="M40" s="51">
        <v>2112.4</v>
      </c>
      <c r="N40" s="51">
        <v>1856.9</v>
      </c>
      <c r="O40" s="51">
        <v>2041.8</v>
      </c>
      <c r="P40" s="51">
        <v>1757.3</v>
      </c>
      <c r="Q40" s="51">
        <v>1363.7</v>
      </c>
      <c r="R40" s="51">
        <v>1377.2</v>
      </c>
      <c r="S40" s="51">
        <v>1519.7739999999999</v>
      </c>
      <c r="T40" s="51">
        <v>1364.2926218598948</v>
      </c>
      <c r="U40" s="51">
        <v>1236.9086359647363</v>
      </c>
      <c r="V40" s="51">
        <v>1221.355745662252</v>
      </c>
      <c r="W40" s="51">
        <v>1469.1871894367926</v>
      </c>
      <c r="X40" s="51">
        <v>1386.6043722885429</v>
      </c>
      <c r="Y40" s="51">
        <v>1638.749</v>
      </c>
      <c r="Z40" s="51">
        <v>1538.4</v>
      </c>
      <c r="AA40" s="51">
        <v>1726.2270000000001</v>
      </c>
      <c r="AB40" s="51">
        <v>1610.8140000000001</v>
      </c>
      <c r="AC40" s="51">
        <v>1736.6949999999999</v>
      </c>
      <c r="AD40" s="51">
        <v>1688.453</v>
      </c>
    </row>
    <row r="41" spans="1:30">
      <c r="A41" s="166" t="s">
        <v>116</v>
      </c>
      <c r="B41" s="43"/>
      <c r="C41" s="43"/>
      <c r="D41" s="43"/>
      <c r="E41" s="43">
        <v>80.340999999999994</v>
      </c>
      <c r="F41" s="58">
        <v>88.7</v>
      </c>
      <c r="G41" s="51">
        <v>83.7</v>
      </c>
      <c r="H41" s="51">
        <v>110.3</v>
      </c>
      <c r="I41" s="51">
        <v>138.9</v>
      </c>
      <c r="J41" s="51">
        <v>155.6</v>
      </c>
      <c r="K41" s="51">
        <v>155.4</v>
      </c>
      <c r="L41" s="51">
        <v>137.19999999999999</v>
      </c>
      <c r="M41" s="51">
        <v>138.30000000000001</v>
      </c>
      <c r="N41" s="51">
        <v>155.19999999999999</v>
      </c>
      <c r="O41" s="51">
        <v>138.5</v>
      </c>
      <c r="P41" s="51">
        <v>156.9</v>
      </c>
      <c r="Q41" s="51">
        <v>145.80000000000001</v>
      </c>
      <c r="R41" s="51">
        <v>154.6</v>
      </c>
      <c r="S41" s="51">
        <v>125.82</v>
      </c>
      <c r="T41" s="51">
        <v>106.4222260570684</v>
      </c>
      <c r="U41" s="51">
        <v>72.548416644731731</v>
      </c>
      <c r="V41" s="51">
        <v>75.516241393178575</v>
      </c>
      <c r="W41" s="51">
        <v>79.735058953896299</v>
      </c>
      <c r="X41" s="51">
        <v>88.103622348775076</v>
      </c>
      <c r="Y41" s="51">
        <v>87.647999999999996</v>
      </c>
      <c r="Z41" s="51">
        <v>97.3</v>
      </c>
      <c r="AA41" s="51">
        <v>83.106999999999999</v>
      </c>
      <c r="AB41" s="51">
        <v>97.947000000000003</v>
      </c>
      <c r="AC41" s="51">
        <v>87.311000000000007</v>
      </c>
      <c r="AD41" s="51">
        <v>90.186000000000007</v>
      </c>
    </row>
    <row r="42" spans="1:30">
      <c r="A42" s="166" t="s">
        <v>117</v>
      </c>
      <c r="B42" s="43"/>
      <c r="C42" s="43"/>
      <c r="D42" s="43"/>
      <c r="E42" s="43">
        <v>107.285</v>
      </c>
      <c r="F42" s="58">
        <v>47.3</v>
      </c>
      <c r="G42" s="51">
        <v>46.6</v>
      </c>
      <c r="H42" s="51">
        <v>46.9</v>
      </c>
      <c r="I42" s="51">
        <v>7.6</v>
      </c>
      <c r="J42" s="51">
        <v>7.8</v>
      </c>
      <c r="K42" s="51">
        <v>7.5</v>
      </c>
      <c r="L42" s="51">
        <v>6.2</v>
      </c>
      <c r="M42" s="51">
        <v>5.2</v>
      </c>
      <c r="N42" s="51">
        <v>5.4</v>
      </c>
      <c r="O42" s="51">
        <v>5.5</v>
      </c>
      <c r="P42" s="51">
        <v>6</v>
      </c>
      <c r="Q42" s="51">
        <v>3.8</v>
      </c>
      <c r="R42" s="51">
        <v>3.6</v>
      </c>
      <c r="S42" s="51">
        <v>6.3470000000000004</v>
      </c>
      <c r="T42" s="51">
        <v>4.4910703920332589</v>
      </c>
      <c r="U42" s="51">
        <v>4.9615616225968768</v>
      </c>
      <c r="V42" s="51">
        <v>4.7543696359725587</v>
      </c>
      <c r="W42" s="51">
        <v>4.7880514199514952</v>
      </c>
      <c r="X42" s="51">
        <v>4.0197076467455313</v>
      </c>
      <c r="Y42" s="51">
        <v>0.81499999999999995</v>
      </c>
      <c r="Z42" s="51">
        <v>0.2</v>
      </c>
      <c r="AA42" s="51">
        <v>5.5E-2</v>
      </c>
      <c r="AB42" s="51">
        <v>10.041</v>
      </c>
      <c r="AC42" s="51">
        <v>18.856000000000002</v>
      </c>
      <c r="AD42" s="51">
        <v>20.126000000000001</v>
      </c>
    </row>
    <row r="43" spans="1:30">
      <c r="A43" s="166" t="s">
        <v>118</v>
      </c>
      <c r="B43" s="43"/>
      <c r="C43" s="43"/>
      <c r="D43" s="43"/>
      <c r="E43" s="43">
        <v>55.786000000000001</v>
      </c>
      <c r="F43" s="58">
        <v>43.1</v>
      </c>
      <c r="G43" s="51">
        <v>41.2</v>
      </c>
      <c r="H43" s="51">
        <v>46.6</v>
      </c>
      <c r="I43" s="51">
        <v>51.8</v>
      </c>
      <c r="J43" s="51">
        <v>44</v>
      </c>
      <c r="K43" s="51">
        <v>51.4</v>
      </c>
      <c r="L43" s="51">
        <v>60.6</v>
      </c>
      <c r="M43" s="51">
        <v>65.8</v>
      </c>
      <c r="N43" s="51">
        <v>69.099999999999994</v>
      </c>
      <c r="O43" s="51">
        <v>58.2</v>
      </c>
      <c r="P43" s="51">
        <v>78.3</v>
      </c>
      <c r="Q43" s="51">
        <v>66.5</v>
      </c>
      <c r="R43" s="51">
        <v>44.1</v>
      </c>
      <c r="S43" s="51">
        <v>38.820999999999998</v>
      </c>
      <c r="T43" s="51">
        <v>43.536660030329642</v>
      </c>
      <c r="U43" s="51">
        <v>33.895895378366468</v>
      </c>
      <c r="V43" s="51">
        <v>34.100164763348424</v>
      </c>
      <c r="W43" s="51">
        <v>30.546481003087571</v>
      </c>
      <c r="X43" s="51">
        <v>34.756228025058931</v>
      </c>
      <c r="Y43" s="51">
        <v>27.698</v>
      </c>
      <c r="Z43" s="51">
        <v>21.7</v>
      </c>
      <c r="AA43" s="51">
        <v>19.242999999999999</v>
      </c>
      <c r="AB43" s="51">
        <v>25.144000000000002</v>
      </c>
      <c r="AC43" s="51">
        <v>26.832999999999998</v>
      </c>
      <c r="AD43" s="51">
        <v>22.257999999999999</v>
      </c>
    </row>
    <row r="44" spans="1:30">
      <c r="A44" s="166" t="s">
        <v>119</v>
      </c>
      <c r="B44" s="43"/>
      <c r="C44" s="43"/>
      <c r="D44" s="43"/>
      <c r="E44" s="43">
        <f>3.398+86.332+3.254</f>
        <v>92.983999999999995</v>
      </c>
      <c r="F44" s="58">
        <v>54.2</v>
      </c>
      <c r="G44" s="51">
        <v>45.1</v>
      </c>
      <c r="H44" s="51">
        <v>45.4</v>
      </c>
      <c r="I44" s="51">
        <v>44.3</v>
      </c>
      <c r="J44" s="51">
        <v>20.6</v>
      </c>
      <c r="K44" s="51">
        <v>19.8</v>
      </c>
      <c r="L44" s="51">
        <v>30.6</v>
      </c>
      <c r="M44" s="51">
        <v>31.5</v>
      </c>
      <c r="N44" s="51">
        <v>22.2</v>
      </c>
      <c r="O44" s="51">
        <v>19.399999999999999</v>
      </c>
      <c r="P44" s="51">
        <v>21.6</v>
      </c>
      <c r="Q44" s="51">
        <v>22.8</v>
      </c>
      <c r="R44" s="51">
        <v>24.2</v>
      </c>
      <c r="S44" s="51">
        <v>20.649000000000001</v>
      </c>
      <c r="T44" s="51">
        <v>21.411964720000004</v>
      </c>
      <c r="U44" s="51">
        <v>22.101143699999998</v>
      </c>
      <c r="V44" s="51">
        <v>21.14674123</v>
      </c>
      <c r="W44" s="51">
        <v>5.3955928999999996</v>
      </c>
      <c r="X44" s="51">
        <v>94.313415080000013</v>
      </c>
      <c r="Y44" s="51">
        <v>96.885000000000005</v>
      </c>
      <c r="Z44" s="51">
        <v>99.8</v>
      </c>
      <c r="AA44" s="51">
        <v>103.416</v>
      </c>
      <c r="AB44" s="51">
        <v>1.329</v>
      </c>
      <c r="AC44" s="51">
        <v>1.4319999999999999</v>
      </c>
      <c r="AD44" s="51">
        <v>1.5329999999999999</v>
      </c>
    </row>
    <row r="45" spans="1:30" ht="14.25" customHeight="1">
      <c r="A45" s="166" t="s">
        <v>140</v>
      </c>
      <c r="B45" s="43"/>
      <c r="C45" s="43"/>
      <c r="D45" s="43"/>
      <c r="E45" s="43">
        <v>56.493000000000002</v>
      </c>
      <c r="F45" s="58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1">
        <v>0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</row>
    <row r="46" spans="1:30">
      <c r="A46" s="166" t="s">
        <v>120</v>
      </c>
      <c r="B46" s="43"/>
      <c r="C46" s="43"/>
      <c r="D46" s="43"/>
      <c r="E46" s="43">
        <v>19.103000000000002</v>
      </c>
      <c r="F46" s="58">
        <v>32.1</v>
      </c>
      <c r="G46" s="51">
        <v>26.9</v>
      </c>
      <c r="H46" s="51">
        <v>21.5</v>
      </c>
      <c r="I46" s="51">
        <v>9</v>
      </c>
      <c r="J46" s="51">
        <v>7.5</v>
      </c>
      <c r="K46" s="51">
        <v>6.6</v>
      </c>
      <c r="L46" s="51">
        <v>13.1</v>
      </c>
      <c r="M46" s="51">
        <v>12.8</v>
      </c>
      <c r="N46" s="51">
        <v>16.600000000000001</v>
      </c>
      <c r="O46" s="51">
        <v>16.100000000000001</v>
      </c>
      <c r="P46" s="51">
        <v>15.8</v>
      </c>
      <c r="Q46" s="51">
        <v>16.7</v>
      </c>
      <c r="R46" s="51">
        <v>16.3</v>
      </c>
      <c r="S46" s="51">
        <v>16.881</v>
      </c>
      <c r="T46" s="51">
        <v>17.981128586276778</v>
      </c>
      <c r="U46" s="51">
        <v>25.133324909765086</v>
      </c>
      <c r="V46" s="51">
        <v>17.153012510924</v>
      </c>
      <c r="W46" s="51">
        <v>17.263112796083</v>
      </c>
      <c r="X46" s="51">
        <v>22.765045446327999</v>
      </c>
      <c r="Y46" s="51">
        <v>23.193000000000001</v>
      </c>
      <c r="Z46" s="51">
        <v>27.2</v>
      </c>
      <c r="AA46" s="51">
        <v>23.268000000000001</v>
      </c>
      <c r="AB46" s="51">
        <v>19.84</v>
      </c>
      <c r="AC46" s="51">
        <v>36.405999999999999</v>
      </c>
      <c r="AD46" s="51">
        <v>54.183</v>
      </c>
    </row>
    <row r="47" spans="1:30">
      <c r="A47" s="166" t="s">
        <v>121</v>
      </c>
      <c r="B47" s="43"/>
      <c r="C47" s="43"/>
      <c r="D47" s="43"/>
      <c r="E47" s="43">
        <v>164.4</v>
      </c>
      <c r="F47" s="58">
        <v>114.3</v>
      </c>
      <c r="G47" s="51">
        <v>144.30000000000001</v>
      </c>
      <c r="H47" s="51">
        <v>111.7</v>
      </c>
      <c r="I47" s="51">
        <v>96.7</v>
      </c>
      <c r="J47" s="51">
        <v>108.6</v>
      </c>
      <c r="K47" s="51">
        <v>71.900000000000006</v>
      </c>
      <c r="L47" s="51">
        <v>77.900000000000006</v>
      </c>
      <c r="M47" s="51">
        <v>101.8</v>
      </c>
      <c r="N47" s="51">
        <v>49.1</v>
      </c>
      <c r="O47" s="51">
        <v>67.7</v>
      </c>
      <c r="P47" s="51">
        <v>54.4</v>
      </c>
      <c r="Q47" s="51">
        <v>61.8</v>
      </c>
      <c r="R47" s="51">
        <v>59.7</v>
      </c>
      <c r="S47" s="51">
        <v>62.75</v>
      </c>
      <c r="T47" s="51">
        <v>64.030778858593905</v>
      </c>
      <c r="U47" s="51">
        <v>50.128151095417344</v>
      </c>
      <c r="V47" s="51">
        <v>48.015349639221924</v>
      </c>
      <c r="W47" s="51">
        <v>60.945417186129021</v>
      </c>
      <c r="X47" s="51">
        <v>60.169079038665906</v>
      </c>
      <c r="Y47" s="51">
        <v>60.533000000000001</v>
      </c>
      <c r="Z47" s="51">
        <v>57.4</v>
      </c>
      <c r="AA47" s="51">
        <v>69.132000000000005</v>
      </c>
      <c r="AB47" s="51">
        <v>72.337000000000003</v>
      </c>
      <c r="AC47" s="51">
        <v>72.631</v>
      </c>
      <c r="AD47" s="51">
        <v>72.081999999999994</v>
      </c>
    </row>
    <row r="48" spans="1:30">
      <c r="A48" s="37" t="s">
        <v>122</v>
      </c>
      <c r="B48" s="152"/>
      <c r="C48" s="37"/>
      <c r="D48" s="37"/>
      <c r="E48" s="152">
        <f>SUM(E36:E47)</f>
        <v>4484.3229999999994</v>
      </c>
      <c r="F48" s="55">
        <v>3918.2</v>
      </c>
      <c r="G48" s="55">
        <v>4383.2</v>
      </c>
      <c r="H48" s="55">
        <v>4789.8999999999996</v>
      </c>
      <c r="I48" s="55">
        <v>3217.4</v>
      </c>
      <c r="J48" s="55">
        <v>2706</v>
      </c>
      <c r="K48" s="55">
        <v>3052.3</v>
      </c>
      <c r="L48" s="55">
        <v>3291.5</v>
      </c>
      <c r="M48" s="55">
        <v>3359.7</v>
      </c>
      <c r="N48" s="55">
        <v>3057.2</v>
      </c>
      <c r="O48" s="55">
        <v>3653.9</v>
      </c>
      <c r="P48" s="55">
        <v>3470</v>
      </c>
      <c r="Q48" s="55">
        <v>3130.4</v>
      </c>
      <c r="R48" s="55">
        <v>3087.2</v>
      </c>
      <c r="S48" s="55">
        <v>2583.1779999999999</v>
      </c>
      <c r="T48" s="55">
        <v>2628.4666781551327</v>
      </c>
      <c r="U48" s="55">
        <v>2478.2677583104128</v>
      </c>
      <c r="V48" s="55">
        <f>SUM(V37:V47)</f>
        <v>2269.4819637620431</v>
      </c>
      <c r="W48" s="55">
        <f t="shared" ref="W48:AD48" si="3">SUM(W36:W47)</f>
        <v>2372.8714342289177</v>
      </c>
      <c r="X48" s="55">
        <f t="shared" si="3"/>
        <v>2520.5862874545005</v>
      </c>
      <c r="Y48" s="55">
        <f t="shared" si="3"/>
        <v>2531.5610000000001</v>
      </c>
      <c r="Z48" s="55">
        <f t="shared" si="3"/>
        <v>2460</v>
      </c>
      <c r="AA48" s="55">
        <f t="shared" si="3"/>
        <v>2550.9940000000001</v>
      </c>
      <c r="AB48" s="55">
        <f t="shared" si="3"/>
        <v>2494.0860000000007</v>
      </c>
      <c r="AC48" s="55">
        <f t="shared" si="3"/>
        <v>2807.3130000000001</v>
      </c>
      <c r="AD48" s="55">
        <f t="shared" si="3"/>
        <v>2810.223</v>
      </c>
    </row>
    <row r="49" spans="1:30">
      <c r="A49" s="44"/>
      <c r="B49" s="44"/>
      <c r="C49" s="44"/>
      <c r="D49" s="44"/>
      <c r="E49" s="44"/>
      <c r="F49" s="53"/>
      <c r="G49" s="53"/>
      <c r="H49" s="53"/>
      <c r="I49" s="53"/>
      <c r="J49" s="53"/>
      <c r="K49" s="53"/>
      <c r="L49" s="53"/>
      <c r="M49" s="53"/>
      <c r="N49" s="53" t="s">
        <v>24</v>
      </c>
      <c r="O49" s="53"/>
    </row>
    <row r="50" spans="1:30">
      <c r="A50" s="37" t="s">
        <v>123</v>
      </c>
      <c r="B50" s="37"/>
      <c r="C50" s="37"/>
      <c r="D50" s="37"/>
      <c r="E50" s="37"/>
      <c r="F50" s="64"/>
      <c r="G50" s="55"/>
      <c r="H50" s="55"/>
      <c r="I50" s="55"/>
      <c r="J50" s="55"/>
      <c r="K50" s="55"/>
      <c r="L50" s="55"/>
      <c r="M50" s="55"/>
      <c r="N50" s="55" t="s">
        <v>24</v>
      </c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</row>
    <row r="51" spans="1:30">
      <c r="A51" s="167" t="s">
        <v>111</v>
      </c>
      <c r="B51" s="45"/>
      <c r="C51" s="45"/>
      <c r="D51" s="45"/>
      <c r="E51" s="45">
        <v>0</v>
      </c>
      <c r="F51" s="58">
        <v>67.2</v>
      </c>
      <c r="G51" s="58">
        <v>0</v>
      </c>
      <c r="H51" s="58">
        <v>0</v>
      </c>
      <c r="I51" s="58">
        <v>425.6</v>
      </c>
      <c r="J51" s="58">
        <v>0</v>
      </c>
      <c r="K51" s="58">
        <v>0</v>
      </c>
      <c r="L51" s="58">
        <v>0</v>
      </c>
      <c r="M51" s="58">
        <v>0</v>
      </c>
      <c r="N51" s="58">
        <v>0</v>
      </c>
      <c r="O51" s="58">
        <v>0</v>
      </c>
      <c r="P51" s="58">
        <v>0</v>
      </c>
      <c r="Q51" s="58">
        <v>0</v>
      </c>
      <c r="R51" s="58">
        <v>0</v>
      </c>
      <c r="S51" s="58">
        <v>0</v>
      </c>
      <c r="T51" s="58">
        <v>0</v>
      </c>
      <c r="U51" s="58">
        <v>0</v>
      </c>
      <c r="V51" s="58">
        <v>0</v>
      </c>
      <c r="W51" s="58">
        <v>0</v>
      </c>
      <c r="X51" s="58">
        <v>0</v>
      </c>
      <c r="Y51" s="58">
        <v>0</v>
      </c>
      <c r="Z51" s="58">
        <v>0</v>
      </c>
      <c r="AA51" s="58"/>
      <c r="AB51" s="58"/>
      <c r="AC51" s="58"/>
      <c r="AD51" s="58"/>
    </row>
    <row r="52" spans="1:30">
      <c r="A52" s="167" t="s">
        <v>112</v>
      </c>
      <c r="B52" s="45"/>
      <c r="C52" s="45"/>
      <c r="D52" s="45"/>
      <c r="E52" s="45">
        <v>906.31399999999996</v>
      </c>
      <c r="F52" s="58">
        <v>807.1</v>
      </c>
      <c r="G52" s="58">
        <v>0</v>
      </c>
      <c r="H52" s="58">
        <v>0</v>
      </c>
      <c r="I52" s="58">
        <v>729.2</v>
      </c>
      <c r="J52" s="58">
        <v>1074.8</v>
      </c>
      <c r="K52" s="58">
        <v>856.6</v>
      </c>
      <c r="L52" s="58">
        <v>791.2</v>
      </c>
      <c r="M52" s="58">
        <v>771.4</v>
      </c>
      <c r="N52" s="58">
        <v>771.6</v>
      </c>
      <c r="O52" s="58">
        <v>203</v>
      </c>
      <c r="P52" s="58">
        <v>203</v>
      </c>
      <c r="Q52" s="58">
        <v>203</v>
      </c>
      <c r="R52" s="58">
        <v>203</v>
      </c>
      <c r="S52" s="58">
        <v>763.95799999999997</v>
      </c>
      <c r="T52" s="58">
        <v>697.96857817</v>
      </c>
      <c r="U52" s="58">
        <v>628.5</v>
      </c>
      <c r="V52" s="58">
        <v>628.43288023000002</v>
      </c>
      <c r="W52" s="58">
        <v>630.39376282000001</v>
      </c>
      <c r="X52" s="58">
        <v>620.47476961999996</v>
      </c>
      <c r="Y52" s="58">
        <v>532.87099999999998</v>
      </c>
      <c r="Z52" s="58">
        <v>534.6</v>
      </c>
      <c r="AA52" s="58">
        <v>536.35900000000004</v>
      </c>
      <c r="AB52" s="58">
        <v>381.12700000000001</v>
      </c>
      <c r="AC52" s="58">
        <v>309.32</v>
      </c>
      <c r="AD52" s="58">
        <v>311.06400000000002</v>
      </c>
    </row>
    <row r="53" spans="1:30">
      <c r="A53" s="167" t="s">
        <v>124</v>
      </c>
      <c r="B53" s="45"/>
      <c r="C53" s="45"/>
      <c r="D53" s="45"/>
      <c r="E53" s="45">
        <v>56.094999999999999</v>
      </c>
      <c r="F53" s="58">
        <v>62.1</v>
      </c>
      <c r="G53" s="58">
        <v>21.9</v>
      </c>
      <c r="H53" s="58">
        <v>26</v>
      </c>
      <c r="I53" s="58">
        <v>2.5</v>
      </c>
      <c r="J53" s="58">
        <v>0.5</v>
      </c>
      <c r="K53" s="58">
        <v>0</v>
      </c>
      <c r="L53" s="58">
        <v>0</v>
      </c>
      <c r="M53" s="58">
        <v>0</v>
      </c>
      <c r="N53" s="58">
        <v>0</v>
      </c>
      <c r="O53" s="58">
        <v>0</v>
      </c>
      <c r="P53" s="58">
        <v>0</v>
      </c>
      <c r="Q53" s="58">
        <v>0</v>
      </c>
      <c r="R53" s="58">
        <v>0</v>
      </c>
      <c r="S53" s="58">
        <v>0</v>
      </c>
      <c r="T53" s="58">
        <v>0</v>
      </c>
      <c r="U53" s="58">
        <v>0</v>
      </c>
      <c r="V53" s="58">
        <v>0</v>
      </c>
      <c r="W53" s="58">
        <v>0</v>
      </c>
      <c r="X53" s="58">
        <v>0</v>
      </c>
      <c r="Y53" s="58">
        <v>0</v>
      </c>
      <c r="Z53" s="58" t="s">
        <v>32</v>
      </c>
      <c r="AA53" s="58" t="s">
        <v>32</v>
      </c>
      <c r="AB53" s="58" t="s">
        <v>32</v>
      </c>
      <c r="AC53" s="58" t="s">
        <v>32</v>
      </c>
      <c r="AD53" s="58">
        <v>0</v>
      </c>
    </row>
    <row r="54" spans="1:30">
      <c r="A54" s="167" t="s">
        <v>125</v>
      </c>
      <c r="B54" s="45"/>
      <c r="C54" s="45"/>
      <c r="D54" s="45"/>
      <c r="E54" s="45"/>
      <c r="F54" s="58">
        <v>20.5</v>
      </c>
      <c r="G54" s="58">
        <v>0</v>
      </c>
      <c r="H54" s="58">
        <v>0</v>
      </c>
      <c r="I54" s="58">
        <v>28.2</v>
      </c>
      <c r="J54" s="58">
        <v>26.4</v>
      </c>
      <c r="K54" s="58">
        <v>24.7</v>
      </c>
      <c r="L54" s="58">
        <v>44.1</v>
      </c>
      <c r="M54" s="58">
        <v>43.2</v>
      </c>
      <c r="N54" s="58">
        <v>41.9</v>
      </c>
      <c r="O54" s="58">
        <v>40.700000000000003</v>
      </c>
      <c r="P54" s="58">
        <v>39.5</v>
      </c>
      <c r="Q54" s="58">
        <v>21.2</v>
      </c>
      <c r="R54" s="58">
        <v>21.1</v>
      </c>
      <c r="S54" s="58">
        <v>21.027000000000001</v>
      </c>
      <c r="T54" s="58">
        <v>11.965911430224001</v>
      </c>
      <c r="U54" s="58">
        <v>8.9</v>
      </c>
      <c r="V54" s="58">
        <v>6.7061916098880001</v>
      </c>
      <c r="W54" s="58">
        <v>4.5339101467359999</v>
      </c>
      <c r="X54" s="58">
        <v>1.9914670929439999</v>
      </c>
      <c r="Y54" s="58">
        <v>2.2629999999999999</v>
      </c>
      <c r="Z54" s="58">
        <v>2.1</v>
      </c>
      <c r="AA54" s="58">
        <v>1.9950000000000001</v>
      </c>
      <c r="AB54" s="58">
        <v>1.944</v>
      </c>
      <c r="AC54" s="58">
        <v>2.0110000000000001</v>
      </c>
      <c r="AD54" s="58">
        <v>1.9079999999999999</v>
      </c>
    </row>
    <row r="55" spans="1:30">
      <c r="A55" s="168" t="s">
        <v>126</v>
      </c>
      <c r="B55" s="45"/>
      <c r="C55" s="45"/>
      <c r="D55" s="45"/>
      <c r="E55" s="45">
        <v>371.31700000000001</v>
      </c>
      <c r="F55" s="58">
        <v>375.4</v>
      </c>
      <c r="G55" s="58">
        <v>369</v>
      </c>
      <c r="H55" s="58">
        <v>355.5</v>
      </c>
      <c r="I55" s="58">
        <v>311.2</v>
      </c>
      <c r="J55" s="58">
        <v>309.89999999999998</v>
      </c>
      <c r="K55" s="58">
        <v>287.3</v>
      </c>
      <c r="L55" s="58">
        <v>286.39999999999998</v>
      </c>
      <c r="M55" s="58">
        <v>243.7</v>
      </c>
      <c r="N55" s="58">
        <v>220.4</v>
      </c>
      <c r="O55" s="58">
        <v>210.6</v>
      </c>
      <c r="P55" s="58">
        <v>206</v>
      </c>
      <c r="Q55" s="58">
        <v>94.8</v>
      </c>
      <c r="R55" s="58">
        <v>88.9</v>
      </c>
      <c r="S55" s="58">
        <v>104.78100000000001</v>
      </c>
      <c r="T55" s="58">
        <v>131.22177926513984</v>
      </c>
      <c r="U55" s="58">
        <v>170.93147644012754</v>
      </c>
      <c r="V55" s="58">
        <v>162.59929165990448</v>
      </c>
      <c r="W55" s="58">
        <v>160.06649143492564</v>
      </c>
      <c r="X55" s="58">
        <v>147.05647548993974</v>
      </c>
      <c r="Y55" s="58">
        <v>155.93100000000001</v>
      </c>
      <c r="Z55" s="58">
        <v>146.30000000000001</v>
      </c>
      <c r="AA55" s="58">
        <v>139.994</v>
      </c>
      <c r="AB55" s="58">
        <v>135.30199999999999</v>
      </c>
      <c r="AC55" s="58">
        <v>80.126999999999995</v>
      </c>
      <c r="AD55" s="58">
        <v>81.66</v>
      </c>
    </row>
    <row r="56" spans="1:30">
      <c r="A56" s="168" t="s">
        <v>119</v>
      </c>
      <c r="B56" s="45"/>
      <c r="C56" s="45"/>
      <c r="D56" s="45"/>
      <c r="E56" s="45">
        <f>61.806+126.954</f>
        <v>188.76</v>
      </c>
      <c r="F56" s="58">
        <v>63.4</v>
      </c>
      <c r="G56" s="58">
        <v>109.3</v>
      </c>
      <c r="H56" s="58">
        <v>108.9</v>
      </c>
      <c r="I56" s="58">
        <v>110.7</v>
      </c>
      <c r="J56" s="58">
        <v>110</v>
      </c>
      <c r="K56" s="58">
        <v>95.5</v>
      </c>
      <c r="L56" s="58">
        <v>95.9</v>
      </c>
      <c r="M56" s="58">
        <v>97.1</v>
      </c>
      <c r="N56" s="58">
        <v>99</v>
      </c>
      <c r="O56" s="58">
        <v>87.2</v>
      </c>
      <c r="P56" s="58">
        <v>87.9</v>
      </c>
      <c r="Q56" s="58">
        <v>90.1</v>
      </c>
      <c r="R56" s="58">
        <v>92.5</v>
      </c>
      <c r="S56" s="58">
        <v>80.319999999999993</v>
      </c>
      <c r="T56" s="58">
        <v>82.808759727312008</v>
      </c>
      <c r="U56" s="58">
        <v>85</v>
      </c>
      <c r="V56" s="58">
        <v>86.308835479999999</v>
      </c>
      <c r="W56" s="58">
        <v>88.442122019999999</v>
      </c>
      <c r="X56" s="58">
        <v>1.99375777</v>
      </c>
      <c r="Y56" s="58">
        <v>1.994</v>
      </c>
      <c r="Z56" s="58">
        <v>2</v>
      </c>
      <c r="AA56" s="58">
        <v>1.5349999999999999</v>
      </c>
      <c r="AB56" s="58">
        <v>1.5349999999999999</v>
      </c>
      <c r="AC56" s="58">
        <v>1.5349999999999999</v>
      </c>
      <c r="AD56" s="58">
        <v>1.5349999999999999</v>
      </c>
    </row>
    <row r="57" spans="1:30">
      <c r="A57" s="167" t="s">
        <v>127</v>
      </c>
      <c r="B57" s="45"/>
      <c r="C57" s="45"/>
      <c r="D57" s="45"/>
      <c r="E57" s="45">
        <v>74.263000000000005</v>
      </c>
      <c r="F57" s="58">
        <v>66.599999999999994</v>
      </c>
      <c r="G57" s="58">
        <v>59.6</v>
      </c>
      <c r="H57" s="58">
        <v>56</v>
      </c>
      <c r="I57" s="58">
        <v>42.1</v>
      </c>
      <c r="J57" s="58">
        <v>35.1</v>
      </c>
      <c r="K57" s="58">
        <v>27.4</v>
      </c>
      <c r="L57" s="58">
        <v>28.4</v>
      </c>
      <c r="M57" s="58">
        <v>27.7</v>
      </c>
      <c r="N57" s="58">
        <v>42</v>
      </c>
      <c r="O57" s="58">
        <v>40.4</v>
      </c>
      <c r="P57" s="58">
        <v>38.799999999999997</v>
      </c>
      <c r="Q57" s="58">
        <v>43.6</v>
      </c>
      <c r="R57" s="58">
        <v>32.4</v>
      </c>
      <c r="S57" s="58">
        <v>29.417999999999999</v>
      </c>
      <c r="T57" s="58">
        <v>29.77205339124815</v>
      </c>
      <c r="U57" s="58">
        <v>43.4</v>
      </c>
      <c r="V57" s="58">
        <v>34.932698962704002</v>
      </c>
      <c r="W57" s="58">
        <v>33.737615680877006</v>
      </c>
      <c r="X57" s="58">
        <v>33.195088615071001</v>
      </c>
      <c r="Y57" s="58">
        <v>47.292000000000002</v>
      </c>
      <c r="Z57" s="58">
        <v>34.1</v>
      </c>
      <c r="AA57" s="58">
        <v>31.306999999999999</v>
      </c>
      <c r="AB57" s="58">
        <v>29.175000000000001</v>
      </c>
      <c r="AC57" s="58">
        <v>31.382000000000001</v>
      </c>
      <c r="AD57" s="58">
        <v>91.599000000000004</v>
      </c>
    </row>
    <row r="58" spans="1:30">
      <c r="A58" s="167" t="s">
        <v>115</v>
      </c>
      <c r="B58" s="45"/>
      <c r="C58" s="45"/>
      <c r="D58" s="45"/>
      <c r="E58" s="45">
        <v>0</v>
      </c>
      <c r="F58" s="58">
        <v>30.5</v>
      </c>
      <c r="G58" s="58">
        <v>20.9</v>
      </c>
      <c r="H58" s="58">
        <v>17.100000000000001</v>
      </c>
      <c r="I58" s="58">
        <v>154.6</v>
      </c>
      <c r="J58" s="58">
        <v>196.2</v>
      </c>
      <c r="K58" s="58">
        <v>204.5</v>
      </c>
      <c r="L58" s="58">
        <v>217.8</v>
      </c>
      <c r="M58" s="58">
        <v>25.5</v>
      </c>
      <c r="N58" s="58">
        <v>25.7</v>
      </c>
      <c r="O58" s="58">
        <v>26.2</v>
      </c>
      <c r="P58" s="58">
        <v>24.5</v>
      </c>
      <c r="Q58" s="58">
        <v>6.2</v>
      </c>
      <c r="R58" s="58">
        <v>5.5</v>
      </c>
      <c r="S58" s="58">
        <v>5.8250000000000002</v>
      </c>
      <c r="T58" s="58">
        <v>3.3753500477960001</v>
      </c>
      <c r="U58" s="58">
        <v>2.2085309970330007</v>
      </c>
      <c r="V58" s="58">
        <v>4.1835293340300002</v>
      </c>
      <c r="W58" s="58">
        <v>5.2795306363520007</v>
      </c>
      <c r="X58" s="58">
        <v>0.42796075517299959</v>
      </c>
      <c r="Y58" s="58">
        <v>2.0190000000000001</v>
      </c>
      <c r="Z58" s="58">
        <v>2</v>
      </c>
      <c r="AA58" s="58">
        <v>4.1150000000000002</v>
      </c>
      <c r="AB58" s="58">
        <v>0.628</v>
      </c>
      <c r="AC58" s="58">
        <v>3.1579999999999999</v>
      </c>
      <c r="AD58" s="58">
        <v>1.4910000000000001</v>
      </c>
    </row>
    <row r="59" spans="1:30">
      <c r="A59" s="167" t="s">
        <v>121</v>
      </c>
      <c r="B59" s="45"/>
      <c r="C59" s="45"/>
      <c r="D59" s="45"/>
      <c r="E59" s="45">
        <v>17.960999999999999</v>
      </c>
      <c r="F59" s="58">
        <v>21.1</v>
      </c>
      <c r="G59" s="58">
        <v>21.3</v>
      </c>
      <c r="H59" s="58">
        <v>20.100000000000001</v>
      </c>
      <c r="I59" s="58">
        <v>17.399999999999999</v>
      </c>
      <c r="J59" s="58">
        <v>14</v>
      </c>
      <c r="K59" s="58">
        <v>18</v>
      </c>
      <c r="L59" s="58">
        <v>16.399999999999999</v>
      </c>
      <c r="M59" s="58">
        <v>13.6</v>
      </c>
      <c r="N59" s="58">
        <v>14.4</v>
      </c>
      <c r="O59" s="58">
        <v>11.5</v>
      </c>
      <c r="P59" s="58">
        <v>11.9</v>
      </c>
      <c r="Q59" s="58">
        <v>11.9</v>
      </c>
      <c r="R59" s="58">
        <v>12</v>
      </c>
      <c r="S59" s="58">
        <v>3.5289999999999999</v>
      </c>
      <c r="T59" s="58">
        <v>3.3654923428825323</v>
      </c>
      <c r="U59" s="58">
        <v>5.6642612140113995</v>
      </c>
      <c r="V59" s="58">
        <v>38.999655609349759</v>
      </c>
      <c r="W59" s="58">
        <v>37.421963001193021</v>
      </c>
      <c r="X59" s="58">
        <v>35.443251363088386</v>
      </c>
      <c r="Y59" s="58">
        <v>34.96</v>
      </c>
      <c r="Z59" s="58">
        <v>32.6</v>
      </c>
      <c r="AA59" s="58">
        <v>30.398</v>
      </c>
      <c r="AB59" s="58">
        <v>27.27</v>
      </c>
      <c r="AC59" s="58">
        <v>25.248000000000001</v>
      </c>
      <c r="AD59" s="58">
        <v>23.036999999999999</v>
      </c>
    </row>
    <row r="60" spans="1:30">
      <c r="A60" s="37" t="s">
        <v>128</v>
      </c>
      <c r="B60" s="152"/>
      <c r="C60" s="37"/>
      <c r="D60" s="37"/>
      <c r="E60" s="152">
        <f>SUM(E51:E59)</f>
        <v>1614.71</v>
      </c>
      <c r="F60" s="55">
        <v>1513.9</v>
      </c>
      <c r="G60" s="55">
        <v>601.9</v>
      </c>
      <c r="H60" s="55">
        <v>583.5</v>
      </c>
      <c r="I60" s="55">
        <v>1821.6</v>
      </c>
      <c r="J60" s="55">
        <v>1766.9</v>
      </c>
      <c r="K60" s="55">
        <v>1513.9</v>
      </c>
      <c r="L60" s="55">
        <v>1480.1</v>
      </c>
      <c r="M60" s="55">
        <v>1222.2</v>
      </c>
      <c r="N60" s="55">
        <v>1215</v>
      </c>
      <c r="O60" s="55">
        <v>619.5</v>
      </c>
      <c r="P60" s="55">
        <v>611.5</v>
      </c>
      <c r="Q60" s="55">
        <v>470.7</v>
      </c>
      <c r="R60" s="55">
        <v>455.3</v>
      </c>
      <c r="S60" s="55">
        <v>1008.8580000000001</v>
      </c>
      <c r="T60" s="55">
        <v>960.47792437460248</v>
      </c>
      <c r="U60" s="55">
        <v>944.65870273707742</v>
      </c>
      <c r="V60" s="55">
        <f>SUM(V52:V59)</f>
        <v>962.16308288587629</v>
      </c>
      <c r="W60" s="55">
        <f t="shared" ref="W60:AD60" si="4">SUM(W51:W59)</f>
        <v>959.8753957400836</v>
      </c>
      <c r="X60" s="55">
        <f t="shared" si="4"/>
        <v>840.58277070621614</v>
      </c>
      <c r="Y60" s="55">
        <f t="shared" si="4"/>
        <v>777.33000000000015</v>
      </c>
      <c r="Z60" s="55">
        <f t="shared" si="4"/>
        <v>753.7</v>
      </c>
      <c r="AA60" s="55">
        <f t="shared" si="4"/>
        <v>745.70300000000009</v>
      </c>
      <c r="AB60" s="55">
        <f t="shared" si="4"/>
        <v>576.98099999999999</v>
      </c>
      <c r="AC60" s="55">
        <f t="shared" si="4"/>
        <v>452.78100000000006</v>
      </c>
      <c r="AD60" s="55">
        <f t="shared" si="4"/>
        <v>512.2940000000001</v>
      </c>
    </row>
    <row r="61" spans="1:30">
      <c r="A61" s="46"/>
      <c r="B61" s="46"/>
      <c r="C61" s="46"/>
      <c r="D61" s="46"/>
      <c r="E61" s="46"/>
      <c r="F61" s="53"/>
      <c r="G61" s="53"/>
      <c r="H61" s="53"/>
      <c r="I61" s="53"/>
      <c r="J61" s="53"/>
      <c r="K61" s="53"/>
      <c r="L61" s="53"/>
      <c r="M61" s="53"/>
      <c r="N61" s="53"/>
      <c r="O61" s="53"/>
    </row>
    <row r="62" spans="1:30">
      <c r="A62" s="37" t="s">
        <v>129</v>
      </c>
      <c r="B62" s="37"/>
      <c r="C62" s="37"/>
      <c r="D62" s="37"/>
      <c r="E62" s="37"/>
      <c r="F62" s="64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</row>
    <row r="63" spans="1:30">
      <c r="A63" s="166" t="s">
        <v>130</v>
      </c>
      <c r="B63" s="43"/>
      <c r="C63" s="43"/>
      <c r="D63" s="43"/>
      <c r="E63" s="43">
        <v>663.23599999999999</v>
      </c>
      <c r="F63" s="58">
        <v>665</v>
      </c>
      <c r="G63" s="58">
        <v>665</v>
      </c>
      <c r="H63" s="58">
        <v>957.9</v>
      </c>
      <c r="I63" s="58">
        <v>960.9</v>
      </c>
      <c r="J63" s="58">
        <v>1320.9</v>
      </c>
      <c r="K63" s="58">
        <v>1320.9</v>
      </c>
      <c r="L63" s="58">
        <v>1371.7</v>
      </c>
      <c r="M63" s="58">
        <v>1371.7</v>
      </c>
      <c r="N63" s="58">
        <v>1371.7</v>
      </c>
      <c r="O63" s="58">
        <v>1414</v>
      </c>
      <c r="P63" s="58">
        <v>1414</v>
      </c>
      <c r="Q63" s="58">
        <v>1414</v>
      </c>
      <c r="R63" s="58">
        <v>1414</v>
      </c>
      <c r="S63" s="58">
        <v>1529.018</v>
      </c>
      <c r="T63" s="58">
        <v>1529.0180781500001</v>
      </c>
      <c r="U63" s="58">
        <v>1755.2637060899995</v>
      </c>
      <c r="V63" s="58">
        <v>1755.2637060899999</v>
      </c>
      <c r="W63" s="58">
        <v>1755.2637060899997</v>
      </c>
      <c r="X63" s="58">
        <v>1755.2637060899997</v>
      </c>
      <c r="Y63" s="58">
        <v>1755.2639999999999</v>
      </c>
      <c r="Z63" s="58">
        <v>1755.25</v>
      </c>
      <c r="AA63" s="58">
        <v>1755.2639999999999</v>
      </c>
      <c r="AB63" s="58">
        <v>1755.2639999999999</v>
      </c>
      <c r="AC63" s="58">
        <v>1755.2639999999999</v>
      </c>
      <c r="AD63" s="58">
        <v>1755.2639999999999</v>
      </c>
    </row>
    <row r="64" spans="1:30">
      <c r="A64" s="166" t="s">
        <v>131</v>
      </c>
      <c r="B64" s="43"/>
      <c r="C64" s="43"/>
      <c r="D64" s="43"/>
      <c r="E64" s="43">
        <v>-178.965</v>
      </c>
      <c r="F64" s="58">
        <v>-89</v>
      </c>
      <c r="G64" s="51">
        <v>-85.2</v>
      </c>
      <c r="H64" s="51">
        <v>-82</v>
      </c>
      <c r="I64" s="51">
        <v>-99.5</v>
      </c>
      <c r="J64" s="51">
        <v>74.3</v>
      </c>
      <c r="K64" s="51">
        <v>75.099999999999994</v>
      </c>
      <c r="L64" s="51">
        <v>475.7</v>
      </c>
      <c r="M64" s="51">
        <v>478.7</v>
      </c>
      <c r="N64" s="51">
        <v>479.2</v>
      </c>
      <c r="O64" s="51">
        <v>815.9</v>
      </c>
      <c r="P64" s="51">
        <v>813.4</v>
      </c>
      <c r="Q64" s="51">
        <v>812.6</v>
      </c>
      <c r="R64" s="51">
        <v>816.2</v>
      </c>
      <c r="S64" s="51">
        <v>1211.0709999999999</v>
      </c>
      <c r="T64" s="51">
        <v>1202.6982438999996</v>
      </c>
      <c r="U64" s="51">
        <v>1224.5789710499998</v>
      </c>
      <c r="V64" s="51">
        <v>1228.3201040099998</v>
      </c>
      <c r="W64" s="51">
        <v>1232.1900059599998</v>
      </c>
      <c r="X64" s="51">
        <v>1235.4712292699999</v>
      </c>
      <c r="Y64" s="51">
        <v>1233.173</v>
      </c>
      <c r="Z64" s="51">
        <v>1236.45</v>
      </c>
      <c r="AA64" s="51">
        <v>1239.9939999999999</v>
      </c>
      <c r="AB64" s="51">
        <v>1241.6590000000001</v>
      </c>
      <c r="AC64" s="51">
        <v>1243.4090000000001</v>
      </c>
      <c r="AD64" s="51">
        <v>1243.1500000000001</v>
      </c>
    </row>
    <row r="65" spans="1:30">
      <c r="A65" s="166" t="s">
        <v>132</v>
      </c>
      <c r="B65" s="43"/>
      <c r="C65" s="43"/>
      <c r="D65" s="43"/>
      <c r="E65" s="43"/>
      <c r="F65" s="51">
        <v>0</v>
      </c>
      <c r="G65" s="51">
        <v>0</v>
      </c>
      <c r="H65" s="51">
        <v>0</v>
      </c>
      <c r="I65" s="51">
        <v>0</v>
      </c>
      <c r="J65" s="51">
        <v>-168.1</v>
      </c>
      <c r="K65" s="51">
        <v>-173</v>
      </c>
      <c r="L65" s="51">
        <v>-184.3</v>
      </c>
      <c r="M65" s="51">
        <v>-183.8</v>
      </c>
      <c r="N65" s="51">
        <v>-183.8</v>
      </c>
      <c r="O65" s="51">
        <v>-183.8</v>
      </c>
      <c r="P65" s="51">
        <v>-183.8</v>
      </c>
      <c r="Q65" s="51">
        <v>-183.8</v>
      </c>
      <c r="R65" s="51">
        <v>-183.8</v>
      </c>
      <c r="S65" s="51">
        <v>-183.846</v>
      </c>
      <c r="T65" s="51">
        <v>-183.84546444</v>
      </c>
      <c r="U65" s="51">
        <v>-183.84546444</v>
      </c>
      <c r="V65" s="51">
        <v>-183.84546444</v>
      </c>
      <c r="W65" s="51">
        <v>-183.84546444</v>
      </c>
      <c r="X65" s="51">
        <v>-183.84546444</v>
      </c>
      <c r="Y65" s="51">
        <v>-183.846</v>
      </c>
      <c r="Z65" s="51">
        <v>-183.75</v>
      </c>
      <c r="AA65" s="51">
        <v>-183.846</v>
      </c>
      <c r="AB65" s="51">
        <v>-183.846</v>
      </c>
      <c r="AC65" s="51">
        <v>-183.846</v>
      </c>
      <c r="AD65" s="51">
        <v>-183.846</v>
      </c>
    </row>
    <row r="66" spans="1:30" ht="14.25" customHeight="1">
      <c r="A66" s="166" t="s">
        <v>133</v>
      </c>
      <c r="B66" s="43"/>
      <c r="C66" s="43"/>
      <c r="D66" s="43"/>
      <c r="E66" s="43">
        <v>318.5</v>
      </c>
      <c r="F66" s="58">
        <v>318.5</v>
      </c>
      <c r="G66" s="51">
        <v>318.5</v>
      </c>
      <c r="H66" s="51">
        <v>318.5</v>
      </c>
      <c r="I66" s="51">
        <v>0</v>
      </c>
      <c r="J66" s="51">
        <v>0</v>
      </c>
      <c r="K66" s="11">
        <v>0</v>
      </c>
      <c r="L66" s="51">
        <v>0</v>
      </c>
      <c r="M66" s="51">
        <v>0</v>
      </c>
      <c r="N66" s="51">
        <v>0</v>
      </c>
      <c r="O66" s="51">
        <v>0</v>
      </c>
      <c r="P66" s="51">
        <v>0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1">
        <v>0</v>
      </c>
      <c r="AC66" s="51">
        <v>0</v>
      </c>
      <c r="AD66" s="51">
        <v>0</v>
      </c>
    </row>
    <row r="67" spans="1:30">
      <c r="A67" s="166" t="s">
        <v>134</v>
      </c>
      <c r="B67" s="43"/>
      <c r="C67" s="43"/>
      <c r="D67" s="43"/>
      <c r="E67" s="43">
        <v>-20.922999999999998</v>
      </c>
      <c r="F67" s="58">
        <v>72.5</v>
      </c>
      <c r="G67" s="51">
        <v>69.400000000000006</v>
      </c>
      <c r="H67" s="51">
        <v>66.8</v>
      </c>
      <c r="I67" s="51">
        <v>64.099999999999994</v>
      </c>
      <c r="J67" s="51">
        <v>76.599999999999994</v>
      </c>
      <c r="K67" s="51">
        <v>57.6</v>
      </c>
      <c r="L67" s="51">
        <v>64</v>
      </c>
      <c r="M67" s="51">
        <v>63.3</v>
      </c>
      <c r="N67" s="51">
        <v>57</v>
      </c>
      <c r="O67" s="51">
        <v>61.5</v>
      </c>
      <c r="P67" s="51">
        <v>63.7</v>
      </c>
      <c r="Q67" s="51">
        <v>61.7</v>
      </c>
      <c r="R67" s="51">
        <v>59.8</v>
      </c>
      <c r="S67" s="51">
        <v>56.594000000000001</v>
      </c>
      <c r="T67" s="51">
        <v>58.950973459999979</v>
      </c>
      <c r="U67" s="51">
        <v>56.830077929999987</v>
      </c>
      <c r="V67" s="51">
        <v>57.930226679999983</v>
      </c>
      <c r="W67" s="51">
        <v>61.921984720000005</v>
      </c>
      <c r="X67" s="51">
        <v>62.260194210000009</v>
      </c>
      <c r="Y67" s="51">
        <v>75.25</v>
      </c>
      <c r="Z67" s="51">
        <v>68.25</v>
      </c>
      <c r="AA67" s="51">
        <v>62.423999999999999</v>
      </c>
      <c r="AB67" s="51">
        <v>60.771000000000001</v>
      </c>
      <c r="AC67" s="51">
        <v>62.805</v>
      </c>
      <c r="AD67" s="51">
        <v>58.325000000000003</v>
      </c>
    </row>
    <row r="68" spans="1:30">
      <c r="A68" s="166" t="s">
        <v>135</v>
      </c>
      <c r="B68" s="43"/>
      <c r="C68" s="43"/>
      <c r="D68" s="43"/>
      <c r="E68" s="43">
        <v>-11.191000000000001</v>
      </c>
      <c r="F68" s="58">
        <v>-11.2</v>
      </c>
      <c r="G68" s="51">
        <v>-8.6999999999999993</v>
      </c>
      <c r="H68" s="51">
        <v>-7.8</v>
      </c>
      <c r="I68" s="51">
        <v>-1.8</v>
      </c>
      <c r="J68" s="51">
        <v>-1</v>
      </c>
      <c r="K68" s="51">
        <v>-0.1</v>
      </c>
      <c r="L68" s="51">
        <v>-0.1</v>
      </c>
      <c r="M68" s="51">
        <v>-0.1</v>
      </c>
      <c r="N68" s="51">
        <v>-0.1</v>
      </c>
      <c r="O68" s="51">
        <v>-0.1</v>
      </c>
      <c r="P68" s="51">
        <v>-0.1</v>
      </c>
      <c r="Q68" s="51">
        <v>-0.1</v>
      </c>
      <c r="R68" s="51">
        <v>-0.1</v>
      </c>
      <c r="S68" s="51">
        <v>-0.12</v>
      </c>
      <c r="T68" s="51">
        <v>-0.12014417999999999</v>
      </c>
      <c r="U68" s="51">
        <v>-0.12014417999999999</v>
      </c>
      <c r="V68" s="51">
        <v>-0.12014417999999999</v>
      </c>
      <c r="W68" s="51">
        <v>-0.12014417999999999</v>
      </c>
      <c r="X68" s="51">
        <v>-0.12014417999999999</v>
      </c>
      <c r="Y68" s="51">
        <v>-0.12</v>
      </c>
      <c r="Z68" s="51">
        <v>-1.5</v>
      </c>
      <c r="AA68" s="51">
        <v>-3.5190000000000001</v>
      </c>
      <c r="AB68" s="51">
        <v>-9.0180000000000007</v>
      </c>
      <c r="AC68" s="51">
        <v>-9.8170000000000002</v>
      </c>
      <c r="AD68" s="51">
        <v>-9.8170000000000002</v>
      </c>
    </row>
    <row r="69" spans="1:30" s="13" customFormat="1">
      <c r="A69" s="166" t="s">
        <v>136</v>
      </c>
      <c r="B69" s="43"/>
      <c r="C69" s="43"/>
      <c r="D69" s="43"/>
      <c r="E69" s="43">
        <v>0</v>
      </c>
      <c r="F69" s="58">
        <v>-1135.8</v>
      </c>
      <c r="G69" s="51">
        <v>-1373.4</v>
      </c>
      <c r="H69" s="51">
        <v>-1585.6</v>
      </c>
      <c r="I69" s="51">
        <v>-878.1</v>
      </c>
      <c r="J69" s="51">
        <v>-955.1</v>
      </c>
      <c r="K69" s="51">
        <v>-1126.0999999999999</v>
      </c>
      <c r="L69" s="51">
        <v>-1207.2</v>
      </c>
      <c r="M69" s="51">
        <v>-1354.4</v>
      </c>
      <c r="N69" s="51">
        <v>-1521.2</v>
      </c>
      <c r="O69" s="51">
        <v>-1616.1</v>
      </c>
      <c r="P69" s="51">
        <v>-1691.1</v>
      </c>
      <c r="Q69" s="51">
        <v>-1787.9</v>
      </c>
      <c r="R69" s="51">
        <v>-1915.8</v>
      </c>
      <c r="S69" s="51">
        <v>-2082.7739999999999</v>
      </c>
      <c r="T69" s="51">
        <v>-2170.2778402700005</v>
      </c>
      <c r="U69" s="51">
        <v>-2244.7477306299998</v>
      </c>
      <c r="V69" s="51">
        <v>-2279.1163725799997</v>
      </c>
      <c r="W69" s="51">
        <v>-2301.2904427199996</v>
      </c>
      <c r="X69" s="51">
        <v>-2286.85526265</v>
      </c>
      <c r="Y69" s="51">
        <v>-2348.0889999999999</v>
      </c>
      <c r="Z69" s="51">
        <v>-2355.5</v>
      </c>
      <c r="AA69" s="51">
        <v>-2401.9569999999999</v>
      </c>
      <c r="AB69" s="51">
        <v>-2361.3310000000001</v>
      </c>
      <c r="AC69" s="51">
        <v>-2389.0239999999999</v>
      </c>
      <c r="AD69" s="51">
        <v>-2461.3449999999998</v>
      </c>
    </row>
    <row r="70" spans="1:30" s="13" customFormat="1">
      <c r="A70" s="166" t="s">
        <v>137</v>
      </c>
      <c r="B70" s="43"/>
      <c r="C70" s="43"/>
      <c r="D70" s="43"/>
      <c r="E70" s="43">
        <v>28.495000000000001</v>
      </c>
      <c r="F70" s="58">
        <v>31.9</v>
      </c>
      <c r="G70" s="51">
        <v>26.9</v>
      </c>
      <c r="H70" s="51">
        <v>16.5</v>
      </c>
      <c r="I70" s="51">
        <v>12.1</v>
      </c>
      <c r="J70" s="51">
        <v>8.8000000000000007</v>
      </c>
      <c r="K70" s="51">
        <v>7.5</v>
      </c>
      <c r="L70" s="51">
        <v>1.7</v>
      </c>
      <c r="M70" s="51">
        <v>0</v>
      </c>
      <c r="N70" s="51">
        <v>0</v>
      </c>
      <c r="O70" s="51">
        <v>0</v>
      </c>
      <c r="P70" s="51">
        <v>0</v>
      </c>
      <c r="Q70" s="51">
        <v>0</v>
      </c>
      <c r="R70" s="51">
        <v>0</v>
      </c>
      <c r="S70" s="51">
        <v>0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51">
        <v>0</v>
      </c>
      <c r="AA70" s="51"/>
      <c r="AB70" s="51"/>
      <c r="AC70" s="51">
        <v>0</v>
      </c>
      <c r="AD70" s="51">
        <v>0</v>
      </c>
    </row>
    <row r="71" spans="1:30" s="13" customFormat="1">
      <c r="A71" s="37" t="s">
        <v>138</v>
      </c>
      <c r="B71" s="152"/>
      <c r="C71" s="37"/>
      <c r="D71" s="37"/>
      <c r="E71" s="152">
        <f>SUM(E63:E70)</f>
        <v>799.15199999999993</v>
      </c>
      <c r="F71" s="55">
        <v>-148.1</v>
      </c>
      <c r="G71" s="55">
        <v>-387.5</v>
      </c>
      <c r="H71" s="55">
        <v>-315.60000000000002</v>
      </c>
      <c r="I71" s="55">
        <v>57.7</v>
      </c>
      <c r="J71" s="55">
        <v>356.5</v>
      </c>
      <c r="K71" s="55">
        <v>161.80000000000001</v>
      </c>
      <c r="L71" s="55">
        <v>521.5</v>
      </c>
      <c r="M71" s="55">
        <v>375.3</v>
      </c>
      <c r="N71" s="55">
        <v>202.7</v>
      </c>
      <c r="O71" s="55">
        <v>491.4</v>
      </c>
      <c r="P71" s="55">
        <v>416.1</v>
      </c>
      <c r="Q71" s="55">
        <v>316.5</v>
      </c>
      <c r="R71" s="55">
        <v>190.2</v>
      </c>
      <c r="S71" s="55">
        <v>529.94300000000021</v>
      </c>
      <c r="T71" s="55">
        <v>436.42384661999949</v>
      </c>
      <c r="U71" s="55">
        <v>607.95941581999966</v>
      </c>
      <c r="V71" s="55">
        <f t="shared" ref="V71:AA71" si="5">SUM(V63:V70)</f>
        <v>578.43205558000045</v>
      </c>
      <c r="W71" s="55">
        <f t="shared" si="5"/>
        <v>564.11964543000022</v>
      </c>
      <c r="X71" s="55">
        <f t="shared" si="5"/>
        <v>582.17425829999956</v>
      </c>
      <c r="Y71" s="55">
        <f t="shared" si="5"/>
        <v>531.63200000000006</v>
      </c>
      <c r="Z71" s="55">
        <f t="shared" si="5"/>
        <v>519.19999999999982</v>
      </c>
      <c r="AA71" s="55">
        <f t="shared" si="5"/>
        <v>468.36000000000013</v>
      </c>
      <c r="AB71" s="55">
        <f t="shared" ref="AB71" si="6">SUM(AB63:AB70)</f>
        <v>503.4989999999998</v>
      </c>
      <c r="AC71" s="55">
        <f>SUM(AC63:AC70)</f>
        <v>478.79099999999971</v>
      </c>
      <c r="AD71" s="55">
        <f>SUM(AD63:AD70)</f>
        <v>401.73099999999977</v>
      </c>
    </row>
    <row r="72" spans="1:30">
      <c r="A72" s="47"/>
      <c r="B72" s="47"/>
      <c r="C72" s="47"/>
      <c r="D72" s="47"/>
      <c r="E72" s="47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</row>
    <row r="73" spans="1:30" s="13" customFormat="1">
      <c r="A73" s="37" t="s">
        <v>139</v>
      </c>
      <c r="B73" s="151"/>
      <c r="C73" s="37"/>
      <c r="D73" s="37"/>
      <c r="E73" s="151">
        <f>E71+E60+E48</f>
        <v>6898.1849999999995</v>
      </c>
      <c r="F73" s="55">
        <v>5284</v>
      </c>
      <c r="G73" s="55">
        <v>4597.5</v>
      </c>
      <c r="H73" s="55">
        <v>5057.8</v>
      </c>
      <c r="I73" s="55">
        <v>5096.6000000000004</v>
      </c>
      <c r="J73" s="55">
        <v>4829.3</v>
      </c>
      <c r="K73" s="55">
        <v>4728</v>
      </c>
      <c r="L73" s="55">
        <v>5293</v>
      </c>
      <c r="M73" s="55">
        <v>4957.2</v>
      </c>
      <c r="N73" s="55">
        <v>4474.8</v>
      </c>
      <c r="O73" s="55">
        <v>4764.8</v>
      </c>
      <c r="P73" s="55">
        <v>4497.6000000000004</v>
      </c>
      <c r="Q73" s="55">
        <v>3917.6</v>
      </c>
      <c r="R73" s="55">
        <v>3732.7</v>
      </c>
      <c r="S73" s="55">
        <v>4121.9790000000003</v>
      </c>
      <c r="T73" s="55">
        <v>4025.3684491497347</v>
      </c>
      <c r="U73" s="55">
        <v>4030.88587686749</v>
      </c>
      <c r="V73" s="55">
        <f t="shared" ref="V73:AA73" si="7">V71+V60+V48</f>
        <v>3810.0771022279196</v>
      </c>
      <c r="W73" s="55">
        <f t="shared" si="7"/>
        <v>3896.8664753990015</v>
      </c>
      <c r="X73" s="55">
        <f t="shared" si="7"/>
        <v>3943.3433164607163</v>
      </c>
      <c r="Y73" s="55">
        <f t="shared" si="7"/>
        <v>3840.5230000000001</v>
      </c>
      <c r="Z73" s="55">
        <f t="shared" si="7"/>
        <v>3732.8999999999996</v>
      </c>
      <c r="AA73" s="55">
        <f t="shared" si="7"/>
        <v>3765.0570000000002</v>
      </c>
      <c r="AB73" s="55">
        <f t="shared" ref="AB73" si="8">AB71+AB60+AB48</f>
        <v>3574.5660000000007</v>
      </c>
      <c r="AC73" s="55">
        <f>AC71+AC60+AC48</f>
        <v>3738.8849999999998</v>
      </c>
      <c r="AD73" s="55">
        <f>AD71+AD60+AD48</f>
        <v>3724.2479999999996</v>
      </c>
    </row>
    <row r="74" spans="1:30" s="13" customFormat="1">
      <c r="A74"/>
      <c r="B74"/>
      <c r="C74"/>
      <c r="D74"/>
      <c r="E74"/>
      <c r="F74" s="62"/>
      <c r="G74"/>
      <c r="H74"/>
      <c r="I74"/>
      <c r="J74"/>
      <c r="K74"/>
      <c r="L74"/>
      <c r="M74"/>
      <c r="N74"/>
      <c r="O74"/>
    </row>
    <row r="75" spans="1:30">
      <c r="F75" s="62"/>
      <c r="G75"/>
      <c r="H75"/>
      <c r="I75"/>
      <c r="J75"/>
      <c r="K75"/>
      <c r="N75"/>
      <c r="O75"/>
    </row>
    <row r="78" spans="1:30" ht="4.5" customHeight="1">
      <c r="A78" s="32"/>
      <c r="B78" s="33"/>
      <c r="C78" s="33"/>
      <c r="D78" s="33"/>
      <c r="E78" s="33"/>
      <c r="F78" s="67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</row>
    <row r="79" spans="1:30">
      <c r="F79" s="62"/>
      <c r="G79"/>
      <c r="H79"/>
      <c r="I79"/>
      <c r="J79"/>
      <c r="K79"/>
      <c r="N79"/>
      <c r="O79"/>
    </row>
    <row r="81" spans="6:15"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6:15"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6:15"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6:15"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6:15"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6:15"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6:15"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6:15"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6:15"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6:15"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6:15"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6:15"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6:15"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6:15"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6:15"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6:15"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6:15"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6:15"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6:15"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6:15"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6:15"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6:15"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6:15"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6:15"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6:15"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6:15"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6:15"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6:15"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6:15"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6:15"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6:15"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6:15"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6:15"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6:15"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6:15"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6:15"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6:15"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6:15"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6:15"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6:15"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6:15"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6:15"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6:15"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6:15"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6:15"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6:15"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6:15"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6:15"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6:15"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6:15"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6:15"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6:15"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6:15"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6:15"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6:15"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6:15"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6:15"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6:15"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6:15"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6:15"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6:15"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6:15"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6:15"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6:15"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6:15"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6:15"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6:15"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6:15">
      <c r="F148" s="68"/>
    </row>
    <row r="149" spans="6:15">
      <c r="F149" s="68"/>
    </row>
    <row r="150" spans="6:15">
      <c r="F150" s="68"/>
    </row>
    <row r="151" spans="6:15">
      <c r="F151" s="68"/>
    </row>
    <row r="152" spans="6:15">
      <c r="F152" s="68"/>
    </row>
    <row r="153" spans="6:15">
      <c r="F153" s="68"/>
    </row>
    <row r="154" spans="6:15">
      <c r="F154" s="68"/>
    </row>
    <row r="155" spans="6:15">
      <c r="F155" s="68"/>
    </row>
    <row r="156" spans="6:15">
      <c r="F156" s="68"/>
    </row>
    <row r="157" spans="6:15">
      <c r="F157" s="68"/>
    </row>
    <row r="158" spans="6:15">
      <c r="F158" s="68"/>
    </row>
    <row r="159" spans="6:15">
      <c r="F159" s="68"/>
    </row>
    <row r="160" spans="6:15">
      <c r="F160" s="68"/>
    </row>
    <row r="161" spans="6:6">
      <c r="F161" s="68"/>
    </row>
    <row r="162" spans="6:6">
      <c r="F162" s="68"/>
    </row>
    <row r="163" spans="6:6">
      <c r="F163" s="68"/>
    </row>
    <row r="164" spans="6:6">
      <c r="F164" s="68"/>
    </row>
    <row r="165" spans="6:6">
      <c r="F165" s="68"/>
    </row>
    <row r="166" spans="6:6">
      <c r="F166" s="68"/>
    </row>
    <row r="167" spans="6:6">
      <c r="F167" s="68"/>
    </row>
    <row r="168" spans="6:6">
      <c r="F168" s="68"/>
    </row>
    <row r="169" spans="6:6">
      <c r="F169" s="68"/>
    </row>
    <row r="170" spans="6:6">
      <c r="F170" s="68"/>
    </row>
    <row r="171" spans="6:6">
      <c r="F171" s="68"/>
    </row>
    <row r="172" spans="6:6">
      <c r="F172" s="68"/>
    </row>
    <row r="173" spans="6:6">
      <c r="F173" s="68"/>
    </row>
    <row r="174" spans="6:6">
      <c r="F174" s="68"/>
    </row>
    <row r="175" spans="6:6">
      <c r="F175" s="68"/>
    </row>
    <row r="176" spans="6:6">
      <c r="F176" s="68"/>
    </row>
    <row r="177" spans="6:6">
      <c r="F177" s="68"/>
    </row>
    <row r="178" spans="6:6">
      <c r="F178" s="68"/>
    </row>
    <row r="179" spans="6:6">
      <c r="F179" s="68"/>
    </row>
    <row r="180" spans="6:6">
      <c r="F180" s="68"/>
    </row>
    <row r="181" spans="6:6">
      <c r="F181" s="68"/>
    </row>
    <row r="182" spans="6:6">
      <c r="F182" s="68"/>
    </row>
    <row r="183" spans="6:6">
      <c r="F183" s="68"/>
    </row>
    <row r="184" spans="6:6">
      <c r="F184" s="68"/>
    </row>
    <row r="185" spans="6:6">
      <c r="F185" s="68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4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49992370372631"/>
  </sheetPr>
  <dimension ref="A1:Z164"/>
  <sheetViews>
    <sheetView showGridLines="0" zoomScaleNormal="100" zoomScaleSheetLayoutView="100" workbookViewId="0">
      <pane xSplit="1" ySplit="8" topLeftCell="K9" activePane="bottomRight" state="frozen"/>
      <selection pane="topRight" activeCell="B1" sqref="B1"/>
      <selection pane="bottomLeft" activeCell="A7" sqref="A7"/>
      <selection pane="bottomRight" activeCell="K9" sqref="K9"/>
    </sheetView>
  </sheetViews>
  <sheetFormatPr defaultColWidth="9" defaultRowHeight="14.25"/>
  <cols>
    <col min="1" max="1" width="57.375" customWidth="1"/>
    <col min="2" max="2" width="7.125" style="59" hidden="1" customWidth="1"/>
    <col min="3" max="5" width="8.375" style="11" hidden="1" customWidth="1"/>
    <col min="6" max="7" width="7.125" style="11" hidden="1" customWidth="1"/>
    <col min="8" max="9" width="7.125" style="12" hidden="1" customWidth="1"/>
    <col min="10" max="10" width="7.125" style="59" hidden="1" customWidth="1" collapsed="1"/>
    <col min="11" max="11" width="7.125" style="59" customWidth="1" collapsed="1"/>
    <col min="12" max="13" width="9" style="12" customWidth="1"/>
    <col min="14" max="16" width="9" style="12"/>
    <col min="17" max="24" width="7.875" style="59" bestFit="1" customWidth="1" collapsed="1"/>
    <col min="25" max="26" width="7.875" style="59" customWidth="1" collapsed="1"/>
    <col min="27" max="16384" width="9" style="12"/>
  </cols>
  <sheetData>
    <row r="1" spans="1:26" ht="17.25" customHeight="1">
      <c r="A1" s="181">
        <f>IF(A7="Financial Statements",0,1)</f>
        <v>1</v>
      </c>
    </row>
    <row r="2" spans="1:26" ht="17.25" customHeight="1">
      <c r="A2" s="181"/>
    </row>
    <row r="3" spans="1:26" ht="4.5" customHeight="1">
      <c r="A3" s="30"/>
      <c r="B3" s="60"/>
      <c r="C3" s="31"/>
      <c r="D3" s="31"/>
      <c r="E3" s="31"/>
      <c r="F3" s="31"/>
      <c r="G3" s="31"/>
      <c r="H3" s="31"/>
      <c r="I3" s="31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16.5" customHeight="1">
      <c r="A4" s="29" t="s">
        <v>141</v>
      </c>
      <c r="B4" s="34" t="s">
        <v>6</v>
      </c>
      <c r="C4" s="34" t="s">
        <v>25</v>
      </c>
      <c r="D4" s="34" t="s">
        <v>26</v>
      </c>
      <c r="E4" s="34">
        <v>2020</v>
      </c>
      <c r="F4" s="35" t="s">
        <v>10</v>
      </c>
      <c r="G4" s="35" t="s">
        <v>27</v>
      </c>
      <c r="H4" s="35" t="s">
        <v>28</v>
      </c>
      <c r="I4" s="35">
        <v>2021</v>
      </c>
      <c r="J4" s="34" t="s">
        <v>14</v>
      </c>
      <c r="K4" s="34" t="s">
        <v>188</v>
      </c>
      <c r="L4" s="34" t="s">
        <v>189</v>
      </c>
      <c r="M4" s="34" t="s">
        <v>190</v>
      </c>
      <c r="N4" s="34" t="s">
        <v>57</v>
      </c>
      <c r="O4" s="34" t="s">
        <v>58</v>
      </c>
      <c r="P4" s="34" t="s">
        <v>59</v>
      </c>
      <c r="Q4" s="34" t="s">
        <v>60</v>
      </c>
      <c r="R4" s="34" t="s">
        <v>61</v>
      </c>
      <c r="S4" s="34" t="s">
        <v>62</v>
      </c>
      <c r="T4" s="34" t="s">
        <v>63</v>
      </c>
      <c r="U4" s="34" t="s">
        <v>64</v>
      </c>
      <c r="V4" s="34" t="s">
        <v>65</v>
      </c>
      <c r="W4" s="34" t="s">
        <v>66</v>
      </c>
      <c r="X4" s="34" t="s">
        <v>67</v>
      </c>
      <c r="Y4" s="34" t="s">
        <v>209</v>
      </c>
      <c r="Z4" s="34" t="s">
        <v>211</v>
      </c>
    </row>
    <row r="5" spans="1:26" ht="16.5" customHeight="1">
      <c r="A5" s="25" t="s">
        <v>35</v>
      </c>
      <c r="B5"/>
      <c r="C5"/>
      <c r="D5"/>
      <c r="E5"/>
      <c r="F5"/>
      <c r="G5"/>
      <c r="H5"/>
      <c r="I5"/>
      <c r="J5"/>
      <c r="K5" s="61"/>
      <c r="Q5"/>
      <c r="R5"/>
      <c r="S5"/>
      <c r="T5"/>
      <c r="U5"/>
      <c r="V5"/>
      <c r="W5"/>
      <c r="X5"/>
      <c r="Y5"/>
      <c r="Z5"/>
    </row>
    <row r="6" spans="1:26" ht="16.5" customHeight="1">
      <c r="A6" s="175" t="s">
        <v>143</v>
      </c>
      <c r="B6"/>
      <c r="C6"/>
      <c r="D6"/>
      <c r="E6"/>
      <c r="F6"/>
      <c r="G6"/>
      <c r="H6"/>
      <c r="I6"/>
      <c r="J6"/>
      <c r="K6" s="61"/>
      <c r="Q6"/>
      <c r="R6"/>
      <c r="S6"/>
      <c r="T6"/>
      <c r="U6"/>
      <c r="V6"/>
      <c r="W6"/>
      <c r="X6"/>
      <c r="Y6"/>
      <c r="Z6"/>
    </row>
    <row r="7" spans="1:26" ht="16.5" customHeight="1">
      <c r="A7" s="170" t="s">
        <v>142</v>
      </c>
      <c r="B7"/>
      <c r="C7"/>
      <c r="D7"/>
      <c r="E7"/>
      <c r="F7"/>
      <c r="G7"/>
      <c r="H7"/>
      <c r="I7"/>
      <c r="J7"/>
      <c r="K7" s="61"/>
      <c r="Q7"/>
      <c r="R7"/>
      <c r="S7"/>
      <c r="T7"/>
      <c r="U7"/>
      <c r="V7"/>
      <c r="W7"/>
      <c r="X7"/>
      <c r="Y7"/>
      <c r="Z7"/>
    </row>
    <row r="8" spans="1:26" ht="6.6" customHeight="1">
      <c r="A8" s="29"/>
      <c r="B8" s="27"/>
      <c r="C8" s="27"/>
      <c r="D8" s="27"/>
      <c r="E8" s="27"/>
      <c r="F8" s="28"/>
      <c r="G8" s="28"/>
      <c r="H8" s="28"/>
      <c r="I8" s="28"/>
      <c r="J8" s="27"/>
      <c r="K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s="13" customFormat="1">
      <c r="A9" s="69" t="s">
        <v>144</v>
      </c>
      <c r="B9" s="76">
        <v>-846.8</v>
      </c>
      <c r="C9" s="76">
        <v>-1086.3</v>
      </c>
      <c r="D9" s="76">
        <v>-1319.4</v>
      </c>
      <c r="E9" s="76">
        <v>-1538.4</v>
      </c>
      <c r="F9" s="76">
        <v>-117.6</v>
      </c>
      <c r="G9" s="76">
        <v>-326.5</v>
      </c>
      <c r="H9" s="76">
        <v>-407.1</v>
      </c>
      <c r="I9" s="76">
        <v>-545.29999999999995</v>
      </c>
      <c r="J9" s="76">
        <v>-104.7</v>
      </c>
      <c r="K9" s="76">
        <v>-89.499999999999986</v>
      </c>
      <c r="L9" s="76">
        <v>-70.5</v>
      </c>
      <c r="M9" s="76">
        <v>-82.400000000000034</v>
      </c>
      <c r="N9" s="76">
        <v>-133.1</v>
      </c>
      <c r="O9" s="76">
        <v>-171.79599999999999</v>
      </c>
      <c r="P9" s="76">
        <v>-91.440602678219363</v>
      </c>
      <c r="Q9" s="76">
        <v>-56.175966918092342</v>
      </c>
      <c r="R9" s="76">
        <v>-34.410850758275494</v>
      </c>
      <c r="S9" s="76">
        <v>-16.432098486143527</v>
      </c>
      <c r="T9" s="76">
        <v>17.751441625880151</v>
      </c>
      <c r="U9" s="76">
        <v>-50.275492381461135</v>
      </c>
      <c r="V9" s="76">
        <v>-4.7</v>
      </c>
      <c r="W9" s="76">
        <v>-43.673000000000002</v>
      </c>
      <c r="X9" s="76">
        <v>27.885754542377697</v>
      </c>
      <c r="Y9" s="76">
        <v>19.795248277824726</v>
      </c>
      <c r="Z9" s="76">
        <v>-53.781999999999996</v>
      </c>
    </row>
    <row r="10" spans="1:26" s="13" customFormat="1" ht="28.5">
      <c r="A10" s="70" t="s">
        <v>145</v>
      </c>
      <c r="B10" s="77">
        <v>775.3</v>
      </c>
      <c r="C10" s="77">
        <v>986.9</v>
      </c>
      <c r="D10" s="77">
        <v>1132.2</v>
      </c>
      <c r="E10" s="77">
        <v>979.7</v>
      </c>
      <c r="F10" s="77">
        <v>57</v>
      </c>
      <c r="G10" s="77">
        <v>133.69999999999999</v>
      </c>
      <c r="H10" s="77">
        <v>191.5</v>
      </c>
      <c r="I10" s="77">
        <v>261</v>
      </c>
      <c r="J10" s="77">
        <f t="shared" ref="J10:W10" si="0">SUM(J11:J19)</f>
        <v>125.5</v>
      </c>
      <c r="K10" s="132">
        <f t="shared" si="0"/>
        <v>77.800000000000011</v>
      </c>
      <c r="L10" s="132">
        <f t="shared" si="0"/>
        <v>179.09999999999997</v>
      </c>
      <c r="M10" s="132">
        <f t="shared" si="0"/>
        <v>96.3</v>
      </c>
      <c r="N10" s="132">
        <f t="shared" si="0"/>
        <v>150.37899999999996</v>
      </c>
      <c r="O10" s="132">
        <f t="shared" si="0"/>
        <v>179.04999999999998</v>
      </c>
      <c r="P10" s="132">
        <f t="shared" si="0"/>
        <v>275.00402519538108</v>
      </c>
      <c r="Q10" s="77">
        <f t="shared" si="0"/>
        <v>168.21413279880127</v>
      </c>
      <c r="R10" s="77">
        <f t="shared" si="0"/>
        <v>108.86590317056618</v>
      </c>
      <c r="S10" s="77">
        <f t="shared" si="0"/>
        <v>97.795123389007586</v>
      </c>
      <c r="T10" s="77">
        <f t="shared" si="0"/>
        <v>101.17096100631963</v>
      </c>
      <c r="U10" s="77">
        <f t="shared" si="0"/>
        <v>143.63801243410654</v>
      </c>
      <c r="V10" s="77">
        <f t="shared" si="0"/>
        <v>154</v>
      </c>
      <c r="W10" s="77">
        <f t="shared" si="0"/>
        <v>149.64600000000002</v>
      </c>
      <c r="X10" s="77">
        <f t="shared" ref="X10" si="1">SUM(X11:X19)</f>
        <v>37.84055935464766</v>
      </c>
      <c r="Y10" s="77">
        <f>SUM(Y11:Y19)</f>
        <v>104.49844064535236</v>
      </c>
      <c r="Z10" s="77">
        <f>SUM(Z11:Z19)</f>
        <v>140.267</v>
      </c>
    </row>
    <row r="11" spans="1:26" s="13" customFormat="1">
      <c r="A11" s="72" t="s">
        <v>75</v>
      </c>
      <c r="B11" s="78">
        <v>55.1</v>
      </c>
      <c r="C11" s="78">
        <v>113.6</v>
      </c>
      <c r="D11" s="78">
        <v>193.2</v>
      </c>
      <c r="E11" s="78">
        <v>212.6</v>
      </c>
      <c r="F11" s="78">
        <v>50.7</v>
      </c>
      <c r="G11" s="78">
        <v>100.7</v>
      </c>
      <c r="H11" s="78">
        <v>147.9</v>
      </c>
      <c r="I11" s="78">
        <v>208.6</v>
      </c>
      <c r="J11" s="78">
        <v>49.1</v>
      </c>
      <c r="K11" s="133">
        <v>48.6</v>
      </c>
      <c r="L11" s="133">
        <v>52.100000000000009</v>
      </c>
      <c r="M11" s="133">
        <v>53.399999999999977</v>
      </c>
      <c r="N11" s="133">
        <v>52</v>
      </c>
      <c r="O11" s="133">
        <v>53.744000000000007</v>
      </c>
      <c r="P11" s="133">
        <v>51.039704568844357</v>
      </c>
      <c r="Q11" s="78">
        <v>61.734113888618644</v>
      </c>
      <c r="R11" s="78">
        <v>49.835930984531394</v>
      </c>
      <c r="S11" s="78">
        <v>58.551611361097869</v>
      </c>
      <c r="T11" s="78">
        <v>55.240100979230441</v>
      </c>
      <c r="U11" s="78">
        <v>58.875356675140267</v>
      </c>
      <c r="V11" s="78">
        <v>51.8</v>
      </c>
      <c r="W11" s="78">
        <v>55.847999999999999</v>
      </c>
      <c r="X11" s="78">
        <v>53.485559354647648</v>
      </c>
      <c r="Y11" s="78">
        <v>68.583440645352368</v>
      </c>
      <c r="Z11" s="78">
        <v>55.523000000000003</v>
      </c>
    </row>
    <row r="12" spans="1:26" s="13" customFormat="1">
      <c r="A12" s="72" t="s">
        <v>146</v>
      </c>
      <c r="B12" s="78">
        <v>69.2</v>
      </c>
      <c r="C12" s="78">
        <v>80.5</v>
      </c>
      <c r="D12" s="78">
        <v>79.599999999999994</v>
      </c>
      <c r="E12" s="78">
        <v>91.6</v>
      </c>
      <c r="F12" s="78">
        <v>-3.8</v>
      </c>
      <c r="G12" s="78">
        <v>-8.3000000000000007</v>
      </c>
      <c r="H12" s="78">
        <v>-10.4</v>
      </c>
      <c r="I12" s="78">
        <v>-1.8</v>
      </c>
      <c r="J12" s="78">
        <v>13</v>
      </c>
      <c r="K12" s="133">
        <v>0.69999999999999929</v>
      </c>
      <c r="L12" s="133">
        <v>14</v>
      </c>
      <c r="M12" s="133">
        <v>20.7</v>
      </c>
      <c r="N12" s="133">
        <v>2.8</v>
      </c>
      <c r="O12" s="133">
        <v>20.271999999999998</v>
      </c>
      <c r="P12" s="133">
        <v>22.924585219186028</v>
      </c>
      <c r="Q12" s="78">
        <v>12.730920793912006</v>
      </c>
      <c r="R12" s="78">
        <v>4.5841849299999904</v>
      </c>
      <c r="S12" s="78">
        <v>4.7860365000000016</v>
      </c>
      <c r="T12" s="78">
        <v>2.0902864799800098</v>
      </c>
      <c r="U12" s="78">
        <v>0.73549209001999749</v>
      </c>
      <c r="V12" s="78">
        <v>-3.8</v>
      </c>
      <c r="W12" s="78">
        <v>6.33</v>
      </c>
      <c r="X12" s="78">
        <v>-2.1390000000000002</v>
      </c>
      <c r="Y12" s="78">
        <v>14.64</v>
      </c>
      <c r="Z12" s="78">
        <v>0.83</v>
      </c>
    </row>
    <row r="13" spans="1:26" s="13" customFormat="1">
      <c r="A13" s="72" t="s">
        <v>147</v>
      </c>
      <c r="B13" s="78">
        <v>3.2</v>
      </c>
      <c r="C13" s="78">
        <v>147</v>
      </c>
      <c r="D13" s="78">
        <v>179</v>
      </c>
      <c r="E13" s="78">
        <v>43.6</v>
      </c>
      <c r="F13" s="78">
        <v>7.2</v>
      </c>
      <c r="G13" s="78">
        <v>44</v>
      </c>
      <c r="H13" s="78">
        <v>54.5</v>
      </c>
      <c r="I13" s="78">
        <v>83.1</v>
      </c>
      <c r="J13" s="78">
        <v>67</v>
      </c>
      <c r="K13" s="133">
        <v>38.900000000000006</v>
      </c>
      <c r="L13" s="133">
        <v>97.1</v>
      </c>
      <c r="M13" s="133">
        <v>79.300000000000011</v>
      </c>
      <c r="N13" s="133">
        <v>89.3</v>
      </c>
      <c r="O13" s="133">
        <v>100.29299999999999</v>
      </c>
      <c r="P13" s="133">
        <v>90.800522208875407</v>
      </c>
      <c r="Q13" s="78">
        <v>28.929234299958182</v>
      </c>
      <c r="R13" s="78">
        <v>58.788474432366137</v>
      </c>
      <c r="S13" s="78">
        <v>32.171355676725923</v>
      </c>
      <c r="T13" s="78">
        <v>41.077716391257447</v>
      </c>
      <c r="U13" s="78">
        <v>55.744453499650518</v>
      </c>
      <c r="V13" s="78">
        <v>98.3</v>
      </c>
      <c r="W13" s="78">
        <v>75.594999999999999</v>
      </c>
      <c r="X13" s="78">
        <v>2.2880000000000109</v>
      </c>
      <c r="Y13" s="78">
        <v>61.968999999999994</v>
      </c>
      <c r="Z13" s="78">
        <v>72.524000000000001</v>
      </c>
    </row>
    <row r="14" spans="1:26" s="13" customFormat="1">
      <c r="A14" s="72" t="s">
        <v>76</v>
      </c>
      <c r="B14" s="78">
        <v>0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0.1</v>
      </c>
      <c r="K14" s="133">
        <v>0.30000000000000004</v>
      </c>
      <c r="L14" s="133">
        <v>0.19999999999999996</v>
      </c>
      <c r="M14" s="133">
        <v>0.30000000000000004</v>
      </c>
      <c r="N14" s="133">
        <v>0.2</v>
      </c>
      <c r="O14" s="133">
        <v>9.6000000000000002E-2</v>
      </c>
      <c r="P14" s="133">
        <v>1.4216689278084227E-2</v>
      </c>
      <c r="Q14" s="78">
        <v>6.8342938021814792E-3</v>
      </c>
      <c r="R14" s="78">
        <v>1.5553926245333968E-3</v>
      </c>
      <c r="S14" s="78">
        <v>6.7837841419850524E-4</v>
      </c>
      <c r="T14" s="78">
        <v>-3.5089542714949857E-3</v>
      </c>
      <c r="U14" s="78">
        <v>1.2751832327630836E-3</v>
      </c>
      <c r="V14" s="78" t="s">
        <v>29</v>
      </c>
      <c r="W14" s="78">
        <v>0</v>
      </c>
      <c r="X14" s="78">
        <v>0</v>
      </c>
      <c r="Y14" s="78">
        <v>0</v>
      </c>
      <c r="Z14" s="78">
        <v>0</v>
      </c>
    </row>
    <row r="15" spans="1:26" s="13" customFormat="1">
      <c r="A15" s="72" t="s">
        <v>148</v>
      </c>
      <c r="B15" s="78">
        <v>7.9</v>
      </c>
      <c r="C15" s="78">
        <v>16.3</v>
      </c>
      <c r="D15" s="78">
        <v>21.4</v>
      </c>
      <c r="E15" s="78">
        <v>-63.5</v>
      </c>
      <c r="F15" s="78">
        <v>-7.9</v>
      </c>
      <c r="G15" s="78">
        <v>-19.8</v>
      </c>
      <c r="H15" s="78">
        <v>-24.9</v>
      </c>
      <c r="I15" s="78">
        <v>-61.3</v>
      </c>
      <c r="J15" s="78">
        <v>-13.6</v>
      </c>
      <c r="K15" s="133">
        <v>-14.1</v>
      </c>
      <c r="L15" s="133">
        <v>15</v>
      </c>
      <c r="M15" s="133">
        <v>-63.7</v>
      </c>
      <c r="N15" s="133">
        <v>4.2</v>
      </c>
      <c r="O15" s="133">
        <v>15.629999999999999</v>
      </c>
      <c r="P15" s="133">
        <v>32.229305041105235</v>
      </c>
      <c r="Q15" s="78">
        <v>59.80919436437452</v>
      </c>
      <c r="R15" s="78">
        <v>-8.9</v>
      </c>
      <c r="S15" s="78">
        <v>-1.0084991419986773</v>
      </c>
      <c r="T15" s="78">
        <v>-2.1781718745752632</v>
      </c>
      <c r="U15" s="78">
        <v>13.196671016573941</v>
      </c>
      <c r="V15" s="78">
        <v>4.5</v>
      </c>
      <c r="W15" s="78">
        <v>8.4350000000000005</v>
      </c>
      <c r="X15" s="78">
        <v>7.6919999999999984</v>
      </c>
      <c r="Y15" s="78">
        <v>-45.674999999999997</v>
      </c>
      <c r="Z15" s="78">
        <v>11.457000000000001</v>
      </c>
    </row>
    <row r="16" spans="1:26" s="13" customFormat="1">
      <c r="A16" s="72" t="s">
        <v>149</v>
      </c>
      <c r="B16" s="78">
        <v>6.2</v>
      </c>
      <c r="C16" s="78">
        <v>5.9</v>
      </c>
      <c r="D16" s="78">
        <v>5.3</v>
      </c>
      <c r="E16" s="78">
        <v>11</v>
      </c>
      <c r="F16" s="78">
        <v>-2.4</v>
      </c>
      <c r="G16" s="78">
        <v>-1.6</v>
      </c>
      <c r="H16" s="78">
        <v>-1.8</v>
      </c>
      <c r="I16" s="78">
        <v>-3.2</v>
      </c>
      <c r="J16" s="78">
        <v>0</v>
      </c>
      <c r="K16" s="133">
        <v>0</v>
      </c>
      <c r="L16" s="133">
        <v>0</v>
      </c>
      <c r="M16" s="133">
        <v>0</v>
      </c>
      <c r="N16" s="133">
        <v>0</v>
      </c>
      <c r="O16" s="133">
        <v>0</v>
      </c>
      <c r="P16" s="133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1.5289999999999999</v>
      </c>
      <c r="Y16" s="78">
        <v>-1.5289999999999999</v>
      </c>
      <c r="Z16" s="78">
        <v>0</v>
      </c>
    </row>
    <row r="17" spans="1:26" s="13" customFormat="1">
      <c r="A17" s="72" t="s">
        <v>150</v>
      </c>
      <c r="B17" s="78"/>
      <c r="C17" s="78"/>
      <c r="D17" s="78"/>
      <c r="E17" s="78"/>
      <c r="F17" s="78"/>
      <c r="G17" s="78"/>
      <c r="H17" s="78"/>
      <c r="I17" s="78"/>
      <c r="J17" s="133">
        <v>0</v>
      </c>
      <c r="K17" s="133">
        <v>0</v>
      </c>
      <c r="L17" s="133">
        <v>0</v>
      </c>
      <c r="M17" s="133">
        <v>0</v>
      </c>
      <c r="N17" s="133">
        <v>0</v>
      </c>
      <c r="O17" s="133">
        <v>0</v>
      </c>
      <c r="P17" s="133">
        <v>77.044274290000004</v>
      </c>
      <c r="Q17" s="78">
        <v>0</v>
      </c>
      <c r="R17" s="78">
        <v>0</v>
      </c>
      <c r="S17" s="78">
        <v>0</v>
      </c>
      <c r="T17" s="78">
        <v>0</v>
      </c>
      <c r="U17" s="78">
        <v>13.552</v>
      </c>
      <c r="V17" s="78" t="s">
        <v>29</v>
      </c>
      <c r="W17" s="78">
        <v>0</v>
      </c>
      <c r="X17" s="78">
        <v>8.2100000000000009</v>
      </c>
      <c r="Y17" s="78">
        <v>9.4450000000000003</v>
      </c>
      <c r="Z17" s="78">
        <v>0</v>
      </c>
    </row>
    <row r="18" spans="1:26" s="13" customFormat="1" ht="15.95" customHeight="1">
      <c r="A18" s="72" t="s">
        <v>151</v>
      </c>
      <c r="B18" s="78">
        <v>640.4</v>
      </c>
      <c r="C18" s="78">
        <v>640.5</v>
      </c>
      <c r="D18" s="78">
        <v>658.2</v>
      </c>
      <c r="E18" s="78">
        <v>636.1</v>
      </c>
      <c r="F18" s="78">
        <v>8.6</v>
      </c>
      <c r="G18" s="78">
        <v>12.5</v>
      </c>
      <c r="H18" s="78">
        <v>10.4</v>
      </c>
      <c r="I18" s="78">
        <v>16.2</v>
      </c>
      <c r="J18" s="78">
        <v>7.2</v>
      </c>
      <c r="K18" s="133">
        <v>0.5</v>
      </c>
      <c r="L18" s="133">
        <v>2.9999999999999991</v>
      </c>
      <c r="M18" s="133">
        <v>7.1000000000000014</v>
      </c>
      <c r="N18" s="133">
        <v>1.958</v>
      </c>
      <c r="O18" s="133">
        <v>1.6460000000000001</v>
      </c>
      <c r="P18" s="133">
        <v>7.6904413770114575</v>
      </c>
      <c r="Q18" s="78">
        <v>4.4449781603800487</v>
      </c>
      <c r="R18" s="78">
        <v>0.49298742904641379</v>
      </c>
      <c r="S18" s="78">
        <v>-1.0762279054339414</v>
      </c>
      <c r="T18" s="78">
        <v>3.4441565357227208</v>
      </c>
      <c r="U18" s="78">
        <v>3.1670839406648064</v>
      </c>
      <c r="V18" s="78">
        <v>0</v>
      </c>
      <c r="W18" s="78">
        <v>0.13800000000000001</v>
      </c>
      <c r="X18" s="78">
        <v>-44.381</v>
      </c>
      <c r="Y18" s="78">
        <v>4.82</v>
      </c>
      <c r="Z18" s="78">
        <v>0.16600000000000001</v>
      </c>
    </row>
    <row r="19" spans="1:26" s="13" customFormat="1">
      <c r="A19" s="72" t="s">
        <v>152</v>
      </c>
      <c r="B19" s="78">
        <v>-6.7</v>
      </c>
      <c r="C19" s="78">
        <v>-16.899999999999999</v>
      </c>
      <c r="D19" s="78">
        <v>-4.5</v>
      </c>
      <c r="E19" s="78">
        <v>48.3</v>
      </c>
      <c r="F19" s="78">
        <v>4.7</v>
      </c>
      <c r="G19" s="78">
        <v>6.3</v>
      </c>
      <c r="H19" s="78">
        <v>15.8</v>
      </c>
      <c r="I19" s="78">
        <v>19.399999999999999</v>
      </c>
      <c r="J19" s="78">
        <v>2.7</v>
      </c>
      <c r="K19" s="133">
        <v>2.8999999999999995</v>
      </c>
      <c r="L19" s="133">
        <v>-2.2999999999999998</v>
      </c>
      <c r="M19" s="133">
        <v>-0.79999999999999982</v>
      </c>
      <c r="N19" s="133">
        <v>-7.9000000000000001E-2</v>
      </c>
      <c r="O19" s="133">
        <v>-12.631</v>
      </c>
      <c r="P19" s="133">
        <v>-6.7390241989194664</v>
      </c>
      <c r="Q19" s="78">
        <v>0.55885699775566811</v>
      </c>
      <c r="R19" s="78">
        <v>4.062770001997726</v>
      </c>
      <c r="S19" s="78">
        <v>4.3701685202022347</v>
      </c>
      <c r="T19" s="78">
        <v>1.500381448975777</v>
      </c>
      <c r="U19" s="78">
        <v>-1.6343199711757386</v>
      </c>
      <c r="V19" s="78">
        <v>3.2</v>
      </c>
      <c r="W19" s="78">
        <v>3.3</v>
      </c>
      <c r="X19" s="78">
        <v>11.155999999999999</v>
      </c>
      <c r="Y19" s="78">
        <v>-7.754999999999999</v>
      </c>
      <c r="Z19" s="78">
        <v>-0.23300000000000001</v>
      </c>
    </row>
    <row r="20" spans="1:26" s="13" customFormat="1">
      <c r="A20" s="71" t="s">
        <v>153</v>
      </c>
      <c r="B20" s="132">
        <v>402.5</v>
      </c>
      <c r="C20" s="132">
        <v>1015.7</v>
      </c>
      <c r="D20" s="132">
        <v>1429.2</v>
      </c>
      <c r="E20" s="132">
        <v>1407.4</v>
      </c>
      <c r="F20" s="132">
        <v>-97.3</v>
      </c>
      <c r="G20" s="132">
        <v>-9.8000000000000007</v>
      </c>
      <c r="H20" s="132">
        <v>-120.1</v>
      </c>
      <c r="I20" s="132">
        <v>179.8</v>
      </c>
      <c r="J20" s="132">
        <f>SUM(J21:J32)</f>
        <v>64.90000000000002</v>
      </c>
      <c r="K20" s="132">
        <f t="shared" ref="K20:W20" si="2">SUM(K21:K32)</f>
        <v>-173.79900000000004</v>
      </c>
      <c r="L20" s="132">
        <f t="shared" si="2"/>
        <v>-198.52799999999993</v>
      </c>
      <c r="M20" s="132">
        <f t="shared" si="2"/>
        <v>74.718000000000018</v>
      </c>
      <c r="N20" s="132">
        <f t="shared" si="2"/>
        <v>-256.25599999999997</v>
      </c>
      <c r="O20" s="132">
        <f t="shared" si="2"/>
        <v>-71.221999999999994</v>
      </c>
      <c r="P20" s="132">
        <f t="shared" si="2"/>
        <v>-251.84243617455869</v>
      </c>
      <c r="Q20" s="132">
        <f t="shared" si="2"/>
        <v>-112.20763635062008</v>
      </c>
      <c r="R20" s="132">
        <f t="shared" si="2"/>
        <v>-119.43655637660464</v>
      </c>
      <c r="S20" s="132">
        <f t="shared" si="2"/>
        <v>-5.434720208392978</v>
      </c>
      <c r="T20" s="132">
        <f t="shared" si="2"/>
        <v>22.309420660981544</v>
      </c>
      <c r="U20" s="132">
        <f t="shared" si="2"/>
        <v>-133.60114407598394</v>
      </c>
      <c r="V20" s="132">
        <f t="shared" si="2"/>
        <v>-202.52499999999986</v>
      </c>
      <c r="W20" s="132">
        <f t="shared" si="2"/>
        <v>25.053031249999876</v>
      </c>
      <c r="X20" s="132">
        <f t="shared" ref="X20" si="3">SUM(X21:X32)</f>
        <v>80.205039120000123</v>
      </c>
      <c r="Y20" s="132">
        <f>SUM(Y21:Y32)</f>
        <v>64.380339499999835</v>
      </c>
      <c r="Z20" s="132">
        <f>SUM(Z21:Z32)</f>
        <v>-208.05453915775195</v>
      </c>
    </row>
    <row r="21" spans="1:26" s="13" customFormat="1">
      <c r="A21" s="72" t="s">
        <v>154</v>
      </c>
      <c r="B21" s="78">
        <v>947.7</v>
      </c>
      <c r="C21" s="78">
        <v>1881.9</v>
      </c>
      <c r="D21" s="78">
        <v>2015.8</v>
      </c>
      <c r="E21" s="78">
        <v>1877</v>
      </c>
      <c r="F21" s="78">
        <v>62.1</v>
      </c>
      <c r="G21" s="78">
        <v>-12.1</v>
      </c>
      <c r="H21" s="78">
        <v>-381.1</v>
      </c>
      <c r="I21" s="78">
        <v>61.1</v>
      </c>
      <c r="J21" s="78">
        <v>243.9</v>
      </c>
      <c r="K21" s="133">
        <v>-325.2</v>
      </c>
      <c r="L21" s="133">
        <v>113.69999999999999</v>
      </c>
      <c r="M21" s="133">
        <v>408.40000000000003</v>
      </c>
      <c r="N21" s="133">
        <v>-113.78</v>
      </c>
      <c r="O21" s="133">
        <v>-115.49699999999999</v>
      </c>
      <c r="P21" s="133">
        <v>-425.27723973964879</v>
      </c>
      <c r="Q21" s="78">
        <v>155.13983094648785</v>
      </c>
      <c r="R21" s="78">
        <v>-35.799269201089707</v>
      </c>
      <c r="S21" s="78">
        <v>-245.2837759889928</v>
      </c>
      <c r="T21" s="78">
        <v>-49.721051635496146</v>
      </c>
      <c r="U21" s="78">
        <v>140.10209682557866</v>
      </c>
      <c r="V21" s="78">
        <v>-69.599999999999994</v>
      </c>
      <c r="W21" s="78">
        <v>-162.315</v>
      </c>
      <c r="X21" s="78">
        <v>10.656000000000006</v>
      </c>
      <c r="Y21" s="78">
        <v>-43.793999999999997</v>
      </c>
      <c r="Z21" s="78">
        <v>-43.064</v>
      </c>
    </row>
    <row r="22" spans="1:26" s="13" customFormat="1">
      <c r="A22" s="170" t="s">
        <v>184</v>
      </c>
      <c r="B22" s="171"/>
      <c r="C22" s="171"/>
      <c r="D22" s="171"/>
      <c r="E22" s="171"/>
      <c r="F22" s="171"/>
      <c r="G22" s="171"/>
      <c r="H22" s="171"/>
      <c r="I22" s="171"/>
      <c r="J22" s="171">
        <v>0</v>
      </c>
      <c r="K22" s="172">
        <f>((Corp_Indicators!N11-Corp_Indicators!O11))*$A$1</f>
        <v>253.40099999999995</v>
      </c>
      <c r="L22" s="172">
        <f>((Corp_Indicators!O11-Corp_Indicators!P11))*$A$1</f>
        <v>-108.32799999999997</v>
      </c>
      <c r="M22" s="172">
        <f>((Corp_Indicators!P11-Corp_Indicators!Q11))*$A$1</f>
        <v>-364.58199999999999</v>
      </c>
      <c r="N22" s="172">
        <f>((Corp_Indicators!Q11-Corp_Indicators!R11))*$A$1</f>
        <v>-39.793999999999983</v>
      </c>
      <c r="O22" s="172">
        <f>((Corp_Indicators!R11-Corp_Indicators!S11))*$A$1</f>
        <v>0.42300000000000182</v>
      </c>
      <c r="P22" s="172">
        <f>((Corp_Indicators!S11-Corp_Indicators!T11))*$A$1</f>
        <v>258.89599999999996</v>
      </c>
      <c r="Q22" s="171">
        <f>((Corp_Indicators!T11-Corp_Indicators!U11))*$A$1</f>
        <v>-20.54200000000003</v>
      </c>
      <c r="R22" s="171">
        <f>((Corp_Indicators!U11-Corp_Indicators!V11))*$A$1</f>
        <v>-32.980000000000018</v>
      </c>
      <c r="S22" s="171">
        <f>((Corp_Indicators!V11-Corp_Indicators!W11))*$A$1</f>
        <v>67.827621969999996</v>
      </c>
      <c r="T22" s="171">
        <f>((Corp_Indicators!W11-Corp_Indicators!X11))*$A$1</f>
        <v>-27.991213239999979</v>
      </c>
      <c r="U22" s="171">
        <f>((Corp_Indicators!X11-Corp_Indicators!Y11))*$A$1</f>
        <v>-257.37040873000001</v>
      </c>
      <c r="V22" s="171">
        <f>((Corp_Indicators!Y11-Corp_Indicators!Z11)-Corp_Indicators!Z19)*$A$1</f>
        <v>-11.824999999999861</v>
      </c>
      <c r="W22" s="171">
        <f>((Corp_Indicators!Z11-Corp_Indicators!AA11)-Corp_Indicators!AA19)*$A$1</f>
        <v>102.38103124999989</v>
      </c>
      <c r="X22" s="171">
        <f>((Corp_Indicators!AA11-Corp_Indicators!AB11)-Corp_Indicators!AB19)*$A$1</f>
        <v>-28.866960879999894</v>
      </c>
      <c r="Y22" s="171">
        <f>((Corp_Indicators!AB11-Corp_Indicators!AC11)-Corp_Indicators!AC19)*$A$1</f>
        <v>-0.72566050000019544</v>
      </c>
      <c r="Z22" s="171">
        <f>((Corp_Indicators!AC11-Corp_Indicators!AD11)-Corp_Indicators!AD19)*$A$1</f>
        <v>-70.987539157751939</v>
      </c>
    </row>
    <row r="23" spans="1:26" s="13" customFormat="1">
      <c r="A23" s="72" t="s">
        <v>155</v>
      </c>
      <c r="B23" s="78">
        <v>8.3000000000000007</v>
      </c>
      <c r="C23" s="78">
        <v>68.7</v>
      </c>
      <c r="D23" s="78">
        <v>6.4</v>
      </c>
      <c r="E23" s="78">
        <v>-97.7</v>
      </c>
      <c r="F23" s="78">
        <v>45.2</v>
      </c>
      <c r="G23" s="78">
        <v>129</v>
      </c>
      <c r="H23" s="78">
        <v>75.2</v>
      </c>
      <c r="I23" s="78">
        <v>117</v>
      </c>
      <c r="J23" s="78">
        <v>124.4</v>
      </c>
      <c r="K23" s="133">
        <v>-168.9</v>
      </c>
      <c r="L23" s="133">
        <v>80.400000000000006</v>
      </c>
      <c r="M23" s="133">
        <v>231.79999999999998</v>
      </c>
      <c r="N23" s="133">
        <v>3.508</v>
      </c>
      <c r="O23" s="133">
        <v>-134.578</v>
      </c>
      <c r="P23" s="133">
        <v>-39.612998017675949</v>
      </c>
      <c r="Q23" s="78">
        <v>-105.11970418565353</v>
      </c>
      <c r="R23" s="78">
        <v>232.9328318101276</v>
      </c>
      <c r="S23" s="78">
        <v>-71.457430121577659</v>
      </c>
      <c r="T23" s="78">
        <v>59.538322966444071</v>
      </c>
      <c r="U23" s="78">
        <v>-28.571724654994</v>
      </c>
      <c r="V23" s="78">
        <v>-47.3</v>
      </c>
      <c r="W23" s="78">
        <v>-52.093000000000004</v>
      </c>
      <c r="X23" s="78">
        <v>73.093000000000004</v>
      </c>
      <c r="Y23" s="78">
        <v>-98.703000000000003</v>
      </c>
      <c r="Z23" s="78">
        <v>40.33</v>
      </c>
    </row>
    <row r="24" spans="1:26" s="13" customFormat="1">
      <c r="A24" s="72" t="s">
        <v>114</v>
      </c>
      <c r="B24" s="78">
        <v>-191.1</v>
      </c>
      <c r="C24" s="78">
        <v>-715.8</v>
      </c>
      <c r="D24" s="78">
        <v>-673.8</v>
      </c>
      <c r="E24" s="78">
        <v>-620.70000000000005</v>
      </c>
      <c r="F24" s="78">
        <v>-103.1</v>
      </c>
      <c r="G24" s="78">
        <v>-54.2</v>
      </c>
      <c r="H24" s="78">
        <v>55.7</v>
      </c>
      <c r="I24" s="78">
        <v>170</v>
      </c>
      <c r="J24" s="78">
        <v>-21.7</v>
      </c>
      <c r="K24" s="133">
        <v>-22.7</v>
      </c>
      <c r="L24" s="133">
        <v>32.700000000000003</v>
      </c>
      <c r="M24" s="133">
        <v>104.4</v>
      </c>
      <c r="N24" s="133">
        <v>-69.126000000000005</v>
      </c>
      <c r="O24" s="133">
        <v>88.152000000000001</v>
      </c>
      <c r="P24" s="133">
        <v>145.89080110492526</v>
      </c>
      <c r="Q24" s="78">
        <v>-34.198051931900508</v>
      </c>
      <c r="R24" s="78">
        <v>-223.50569813311557</v>
      </c>
      <c r="S24" s="78">
        <v>-37.809749964564716</v>
      </c>
      <c r="T24" s="78">
        <v>95.531891423365252</v>
      </c>
      <c r="U24" s="78">
        <v>-156.73444332568494</v>
      </c>
      <c r="V24" s="78">
        <v>-4.8</v>
      </c>
      <c r="W24" s="78">
        <v>-64.849000000000004</v>
      </c>
      <c r="X24" s="78">
        <v>146.69999999999999</v>
      </c>
      <c r="Y24" s="78">
        <v>88.439000000000021</v>
      </c>
      <c r="Z24" s="78">
        <v>-23.844000000000001</v>
      </c>
    </row>
    <row r="25" spans="1:26" s="13" customFormat="1">
      <c r="A25" s="72" t="s">
        <v>156</v>
      </c>
      <c r="B25" s="78">
        <v>-345.1</v>
      </c>
      <c r="C25" s="78">
        <v>-251.4</v>
      </c>
      <c r="D25" s="78">
        <v>90.3</v>
      </c>
      <c r="E25" s="78">
        <v>169.4</v>
      </c>
      <c r="F25" s="78">
        <v>-110.9</v>
      </c>
      <c r="G25" s="78">
        <v>32.9</v>
      </c>
      <c r="H25" s="78">
        <v>271.2</v>
      </c>
      <c r="I25" s="78">
        <v>-24.4</v>
      </c>
      <c r="J25" s="78">
        <v>-228.3</v>
      </c>
      <c r="K25" s="133">
        <v>170</v>
      </c>
      <c r="L25" s="133">
        <v>-289.2</v>
      </c>
      <c r="M25" s="133">
        <v>-407.5</v>
      </c>
      <c r="N25" s="133">
        <v>15.638</v>
      </c>
      <c r="O25" s="133">
        <v>148.845</v>
      </c>
      <c r="P25" s="133">
        <v>-161.54033655543648</v>
      </c>
      <c r="Q25" s="78">
        <v>-124.15001893713527</v>
      </c>
      <c r="R25" s="78">
        <v>-17.07833304228825</v>
      </c>
      <c r="S25" s="78">
        <v>241.03691774159373</v>
      </c>
      <c r="T25" s="78">
        <v>-89.087835684199234</v>
      </c>
      <c r="U25" s="78">
        <v>213.79125098489374</v>
      </c>
      <c r="V25" s="78">
        <v>-80.650000000000006</v>
      </c>
      <c r="W25" s="78">
        <v>199.92</v>
      </c>
      <c r="X25" s="78">
        <v>-116.33999999999997</v>
      </c>
      <c r="Y25" s="78">
        <v>127.595</v>
      </c>
      <c r="Z25" s="78">
        <v>-41.927</v>
      </c>
    </row>
    <row r="26" spans="1:26" s="13" customFormat="1">
      <c r="A26" s="72" t="s">
        <v>157</v>
      </c>
      <c r="B26" s="78">
        <v>28.6</v>
      </c>
      <c r="C26" s="80">
        <v>-0.8</v>
      </c>
      <c r="D26" s="80">
        <v>7.3</v>
      </c>
      <c r="E26" s="80">
        <v>56.1</v>
      </c>
      <c r="F26" s="78">
        <v>-1.6</v>
      </c>
      <c r="G26" s="78">
        <v>6.2</v>
      </c>
      <c r="H26" s="78">
        <v>39.6</v>
      </c>
      <c r="I26" s="80">
        <v>48.2</v>
      </c>
      <c r="J26" s="78">
        <v>6.9</v>
      </c>
      <c r="K26" s="133">
        <v>-7.1000000000000005</v>
      </c>
      <c r="L26" s="133">
        <v>7.6000000000000005</v>
      </c>
      <c r="M26" s="133">
        <v>12.4</v>
      </c>
      <c r="N26" s="133">
        <v>-5.4720000000000004</v>
      </c>
      <c r="O26" s="133">
        <v>0.97800000000000065</v>
      </c>
      <c r="P26" s="133">
        <v>8.4480625143712533</v>
      </c>
      <c r="Q26" s="78">
        <v>10.445605946997933</v>
      </c>
      <c r="R26" s="78">
        <v>-4.9689456032592713E-2</v>
      </c>
      <c r="S26" s="78">
        <v>-8.3324122591673895</v>
      </c>
      <c r="T26" s="78">
        <v>-6.5885984808062261</v>
      </c>
      <c r="U26" s="78">
        <v>-6.429299803993791</v>
      </c>
      <c r="V26" s="78">
        <v>-20.149999999999999</v>
      </c>
      <c r="W26" s="78">
        <v>-9.3759999999999994</v>
      </c>
      <c r="X26" s="78">
        <v>4.0179999999999971</v>
      </c>
      <c r="Y26" s="78">
        <v>-21.49</v>
      </c>
      <c r="Z26" s="78">
        <v>-28.736999999999998</v>
      </c>
    </row>
    <row r="27" spans="1:26" s="13" customFormat="1">
      <c r="A27" s="72" t="s">
        <v>158</v>
      </c>
      <c r="B27" s="78">
        <v>18.7</v>
      </c>
      <c r="C27" s="80">
        <v>38.1</v>
      </c>
      <c r="D27" s="80">
        <v>30.3</v>
      </c>
      <c r="E27" s="80">
        <v>32.799999999999997</v>
      </c>
      <c r="F27" s="78">
        <v>0</v>
      </c>
      <c r="G27" s="78">
        <v>-0.6</v>
      </c>
      <c r="H27" s="78">
        <v>-0.9</v>
      </c>
      <c r="I27" s="80">
        <v>0.5</v>
      </c>
      <c r="J27" s="78">
        <v>-2.6</v>
      </c>
      <c r="K27" s="133">
        <v>-10.6</v>
      </c>
      <c r="L27" s="133">
        <v>-2.7000000000000011</v>
      </c>
      <c r="M27" s="133">
        <v>-0.20000000000000107</v>
      </c>
      <c r="N27" s="133">
        <v>-0.90200000000000002</v>
      </c>
      <c r="O27" s="133">
        <v>-4.3620000000000001</v>
      </c>
      <c r="P27" s="133">
        <v>-4.4184610319150783</v>
      </c>
      <c r="Q27" s="78">
        <v>-2.884485976538083</v>
      </c>
      <c r="R27" s="78">
        <v>3.2355874911724126E-2</v>
      </c>
      <c r="S27" s="78">
        <v>0.38983390396891804</v>
      </c>
      <c r="T27" s="78">
        <v>14.272177558173176</v>
      </c>
      <c r="U27" s="78">
        <v>3.7276326629461813</v>
      </c>
      <c r="V27" s="78">
        <v>-3.15</v>
      </c>
      <c r="W27" s="78">
        <v>-1.796</v>
      </c>
      <c r="X27" s="78">
        <v>4.9459999999999997</v>
      </c>
      <c r="Y27" s="78">
        <v>0</v>
      </c>
      <c r="Z27" s="78">
        <v>0</v>
      </c>
    </row>
    <row r="28" spans="1:26" s="13" customFormat="1">
      <c r="A28" s="72" t="s">
        <v>159</v>
      </c>
      <c r="B28" s="78">
        <v>8.3000000000000007</v>
      </c>
      <c r="C28" s="80">
        <v>3.3</v>
      </c>
      <c r="D28" s="80">
        <v>29.9</v>
      </c>
      <c r="E28" s="80">
        <v>53</v>
      </c>
      <c r="F28" s="78">
        <v>14.5</v>
      </c>
      <c r="G28" s="78">
        <v>17.100000000000001</v>
      </c>
      <c r="H28" s="78">
        <v>-2.6</v>
      </c>
      <c r="I28" s="80">
        <v>-8.5</v>
      </c>
      <c r="J28" s="78">
        <v>20.8</v>
      </c>
      <c r="K28" s="133">
        <v>-19</v>
      </c>
      <c r="L28" s="133">
        <v>17.5</v>
      </c>
      <c r="M28" s="133">
        <v>-10.100000000000001</v>
      </c>
      <c r="N28" s="133">
        <v>9.4410000000000007</v>
      </c>
      <c r="O28" s="133">
        <v>-27.606999999999999</v>
      </c>
      <c r="P28" s="133">
        <v>-20.249623124599065</v>
      </c>
      <c r="Q28" s="78">
        <v>-33.565992909890284</v>
      </c>
      <c r="R28" s="78">
        <v>2.6664928910651948</v>
      </c>
      <c r="S28" s="78">
        <v>2.7896915806939719</v>
      </c>
      <c r="T28" s="78">
        <v>8.9180339384389562</v>
      </c>
      <c r="U28" s="78">
        <v>-1.8862184101981239</v>
      </c>
      <c r="V28" s="78">
        <v>10.65</v>
      </c>
      <c r="W28" s="78">
        <v>-13.747999999999999</v>
      </c>
      <c r="X28" s="78">
        <v>15.185999999999998</v>
      </c>
      <c r="Y28" s="78">
        <v>-10.985999999999999</v>
      </c>
      <c r="Z28" s="78">
        <v>3.2770000000000001</v>
      </c>
    </row>
    <row r="29" spans="1:26" s="13" customFormat="1">
      <c r="A29" s="72" t="s">
        <v>160</v>
      </c>
      <c r="B29" s="78">
        <v>-62</v>
      </c>
      <c r="C29" s="80">
        <v>-61.7</v>
      </c>
      <c r="D29" s="80">
        <v>-61.5</v>
      </c>
      <c r="E29" s="80">
        <v>-97.3</v>
      </c>
      <c r="F29" s="78">
        <v>0</v>
      </c>
      <c r="G29" s="78">
        <v>-0.2</v>
      </c>
      <c r="H29" s="78">
        <v>-1.6</v>
      </c>
      <c r="I29" s="80">
        <v>-2</v>
      </c>
      <c r="J29" s="78">
        <v>0</v>
      </c>
      <c r="K29" s="133">
        <v>0.3</v>
      </c>
      <c r="L29" s="133">
        <v>0.2</v>
      </c>
      <c r="M29" s="133">
        <v>-5.2</v>
      </c>
      <c r="N29" s="133">
        <v>-0.28100000000000003</v>
      </c>
      <c r="O29" s="133">
        <v>-0.41199999999999992</v>
      </c>
      <c r="P29" s="133">
        <v>-1.6226240688411186</v>
      </c>
      <c r="Q29" s="78">
        <v>-4.4818398597529563E-2</v>
      </c>
      <c r="R29" s="78">
        <v>-0.24032830575321321</v>
      </c>
      <c r="S29" s="78">
        <v>-7.4382379635315368E-2</v>
      </c>
      <c r="T29" s="78">
        <v>-0.91195640947747381</v>
      </c>
      <c r="U29" s="78">
        <v>-4.2643329051339975</v>
      </c>
      <c r="V29" s="78">
        <v>-0.9</v>
      </c>
      <c r="W29" s="78">
        <v>-0.23699999999999999</v>
      </c>
      <c r="X29" s="78">
        <v>-1.964</v>
      </c>
      <c r="Y29" s="78">
        <v>18.268000000000001</v>
      </c>
      <c r="Z29" s="78">
        <v>-0.74299999999999999</v>
      </c>
    </row>
    <row r="30" spans="1:26" s="13" customFormat="1">
      <c r="A30" s="72" t="s">
        <v>161</v>
      </c>
      <c r="B30" s="78">
        <v>-15</v>
      </c>
      <c r="C30" s="80">
        <v>-31.2</v>
      </c>
      <c r="D30" s="80">
        <v>-50.6</v>
      </c>
      <c r="E30" s="80">
        <v>-11.6</v>
      </c>
      <c r="F30" s="78">
        <v>-0.3</v>
      </c>
      <c r="G30" s="78">
        <v>-0.5</v>
      </c>
      <c r="H30" s="78">
        <v>-1.3</v>
      </c>
      <c r="I30" s="80">
        <v>-1.1000000000000001</v>
      </c>
      <c r="J30" s="78">
        <v>-0.8</v>
      </c>
      <c r="K30" s="133">
        <v>-0.5</v>
      </c>
      <c r="L30" s="133">
        <v>-1.2</v>
      </c>
      <c r="M30" s="133">
        <v>-30.4</v>
      </c>
      <c r="N30" s="133">
        <v>-8.6059999999999999</v>
      </c>
      <c r="O30" s="133">
        <v>-6.0060000000000002</v>
      </c>
      <c r="P30" s="133">
        <v>-4.0873843626759996</v>
      </c>
      <c r="Q30" s="78">
        <v>-18.108060572827476</v>
      </c>
      <c r="R30" s="78">
        <v>-1.3</v>
      </c>
      <c r="S30" s="78">
        <v>-9.3047683828350021</v>
      </c>
      <c r="T30" s="78">
        <v>-8.8807613969904668</v>
      </c>
      <c r="U30" s="78">
        <v>-14.756470220174528</v>
      </c>
      <c r="V30" s="78">
        <v>-7</v>
      </c>
      <c r="W30" s="78">
        <v>-9.56</v>
      </c>
      <c r="X30" s="78">
        <v>-9.3169999999999966</v>
      </c>
      <c r="Y30" s="78">
        <v>-11.223000000000003</v>
      </c>
      <c r="Z30" s="78">
        <v>-9.2140000000000004</v>
      </c>
    </row>
    <row r="31" spans="1:26" s="13" customFormat="1">
      <c r="A31" s="72" t="s">
        <v>162</v>
      </c>
      <c r="B31" s="78">
        <v>55.3</v>
      </c>
      <c r="C31" s="80">
        <v>109.6</v>
      </c>
      <c r="D31" s="80">
        <v>110.9</v>
      </c>
      <c r="E31" s="80">
        <v>125</v>
      </c>
      <c r="F31" s="78">
        <v>-5.9</v>
      </c>
      <c r="G31" s="78">
        <v>-101.7</v>
      </c>
      <c r="H31" s="78">
        <v>-145.9</v>
      </c>
      <c r="I31" s="80">
        <v>-179.3</v>
      </c>
      <c r="J31" s="78">
        <v>-33.4</v>
      </c>
      <c r="K31" s="133">
        <v>-55.500000000000007</v>
      </c>
      <c r="L31" s="133">
        <v>-34.199999999999989</v>
      </c>
      <c r="M31" s="133">
        <v>124</v>
      </c>
      <c r="N31" s="133">
        <v>-39.454000000000001</v>
      </c>
      <c r="O31" s="133">
        <v>-17.238999999999997</v>
      </c>
      <c r="P31" s="133">
        <v>-14.654920084319457</v>
      </c>
      <c r="Q31" s="78">
        <v>71.503325257549449</v>
      </c>
      <c r="R31" s="78">
        <v>-74.214918814429794</v>
      </c>
      <c r="S31" s="78">
        <v>54.290531347340711</v>
      </c>
      <c r="T31" s="78">
        <v>19.812363714047294</v>
      </c>
      <c r="U31" s="78">
        <v>-18.176976246958212</v>
      </c>
      <c r="V31" s="78">
        <v>36.200000000000003</v>
      </c>
      <c r="W31" s="78">
        <v>30.841999999999999</v>
      </c>
      <c r="X31" s="78">
        <v>-18.587000000000003</v>
      </c>
      <c r="Y31" s="78">
        <v>20.448999999999998</v>
      </c>
      <c r="Z31" s="78">
        <v>-30.015000000000001</v>
      </c>
    </row>
    <row r="32" spans="1:26" s="13" customFormat="1">
      <c r="A32" s="72" t="s">
        <v>163</v>
      </c>
      <c r="B32" s="78">
        <v>-49.6</v>
      </c>
      <c r="C32" s="80">
        <v>-21.6</v>
      </c>
      <c r="D32" s="80">
        <v>-72.599999999999994</v>
      </c>
      <c r="E32" s="80">
        <v>-75.2</v>
      </c>
      <c r="F32" s="78">
        <v>2.7</v>
      </c>
      <c r="G32" s="78">
        <v>-25.7</v>
      </c>
      <c r="H32" s="78">
        <v>-28.4</v>
      </c>
      <c r="I32" s="80">
        <v>-1.7</v>
      </c>
      <c r="J32" s="78">
        <v>-44.3</v>
      </c>
      <c r="K32" s="133">
        <v>12</v>
      </c>
      <c r="L32" s="133">
        <v>-15</v>
      </c>
      <c r="M32" s="133">
        <v>11.699999999999996</v>
      </c>
      <c r="N32" s="133">
        <v>-7.4279999999999999</v>
      </c>
      <c r="O32" s="133">
        <v>-3.9189999999999996</v>
      </c>
      <c r="P32" s="133">
        <v>6.3862871912567334</v>
      </c>
      <c r="Q32" s="78">
        <v>-10.683265589112612</v>
      </c>
      <c r="R32" s="78">
        <v>30.1</v>
      </c>
      <c r="S32" s="78">
        <v>0.49320234478257041</v>
      </c>
      <c r="T32" s="78">
        <v>7.4180479074823165</v>
      </c>
      <c r="U32" s="78">
        <v>-3.0322502522648875</v>
      </c>
      <c r="V32" s="78">
        <v>-4</v>
      </c>
      <c r="W32" s="78">
        <v>5.8840000000000003</v>
      </c>
      <c r="X32" s="78">
        <v>0.68100000000000005</v>
      </c>
      <c r="Y32" s="78">
        <v>-3.4490000000000003</v>
      </c>
      <c r="Z32" s="78">
        <v>-3.13</v>
      </c>
    </row>
    <row r="33" spans="1:26">
      <c r="A33" s="69" t="s">
        <v>164</v>
      </c>
      <c r="B33" s="131">
        <v>331</v>
      </c>
      <c r="C33" s="131">
        <v>916.3</v>
      </c>
      <c r="D33" s="131">
        <v>1242</v>
      </c>
      <c r="E33" s="131">
        <v>848.7</v>
      </c>
      <c r="F33" s="131">
        <v>-158</v>
      </c>
      <c r="G33" s="131">
        <v>-202.6</v>
      </c>
      <c r="H33" s="131">
        <v>-335.7</v>
      </c>
      <c r="I33" s="131">
        <v>-104.5</v>
      </c>
      <c r="J33" s="131">
        <f t="shared" ref="J33:W33" si="4">SUM(J9:J10,J20)</f>
        <v>85.700000000000017</v>
      </c>
      <c r="K33" s="131">
        <f t="shared" si="4"/>
        <v>-185.49900000000002</v>
      </c>
      <c r="L33" s="131">
        <f t="shared" si="4"/>
        <v>-89.927999999999969</v>
      </c>
      <c r="M33" s="131">
        <f t="shared" si="4"/>
        <v>88.617999999999981</v>
      </c>
      <c r="N33" s="131">
        <f t="shared" si="4"/>
        <v>-238.977</v>
      </c>
      <c r="O33" s="131">
        <f t="shared" si="4"/>
        <v>-63.968000000000004</v>
      </c>
      <c r="P33" s="131">
        <f t="shared" si="4"/>
        <v>-68.279013657396973</v>
      </c>
      <c r="Q33" s="131">
        <f t="shared" si="4"/>
        <v>-0.16947046991114689</v>
      </c>
      <c r="R33" s="131">
        <f t="shared" si="4"/>
        <v>-44.981503964313958</v>
      </c>
      <c r="S33" s="131">
        <f t="shared" si="4"/>
        <v>75.92830469447108</v>
      </c>
      <c r="T33" s="131">
        <f t="shared" si="4"/>
        <v>141.23182329318132</v>
      </c>
      <c r="U33" s="131">
        <f t="shared" si="4"/>
        <v>-40.238624023338531</v>
      </c>
      <c r="V33" s="131">
        <f t="shared" si="4"/>
        <v>-53.224999999999852</v>
      </c>
      <c r="W33" s="131">
        <f t="shared" si="4"/>
        <v>131.0260312499999</v>
      </c>
      <c r="X33" s="131">
        <f t="shared" ref="X33" si="5">SUM(X9:X10,X20)</f>
        <v>145.93135301702549</v>
      </c>
      <c r="Y33" s="131">
        <f>SUM(Y9:Y10,Y20)</f>
        <v>188.67402842317694</v>
      </c>
      <c r="Z33" s="131">
        <f>SUM(Z9:Z10,Z20)</f>
        <v>-121.56953915775195</v>
      </c>
    </row>
    <row r="34" spans="1:26">
      <c r="A34" s="72" t="s">
        <v>165</v>
      </c>
      <c r="B34" s="78">
        <v>-1</v>
      </c>
      <c r="C34" s="80">
        <v>-1.5</v>
      </c>
      <c r="D34" s="80">
        <v>-2.4</v>
      </c>
      <c r="E34" s="80">
        <v>-1.5</v>
      </c>
      <c r="F34" s="78">
        <v>-0.1</v>
      </c>
      <c r="G34" s="78">
        <v>-0.3</v>
      </c>
      <c r="H34" s="78">
        <v>-0.4</v>
      </c>
      <c r="I34" s="80">
        <v>-12.1</v>
      </c>
      <c r="J34" s="78">
        <v>-8.6999999999999993</v>
      </c>
      <c r="K34" s="133">
        <v>-2.8000000000000007</v>
      </c>
      <c r="L34" s="133">
        <v>-3</v>
      </c>
      <c r="M34" s="133">
        <v>-1.6999999999999993</v>
      </c>
      <c r="N34" s="133">
        <v>-0.49399999999999999</v>
      </c>
      <c r="O34" s="133">
        <v>-1.381</v>
      </c>
      <c r="P34" s="133">
        <v>-2.2055970465188892</v>
      </c>
      <c r="Q34" s="133">
        <v>-2.4365477753875702</v>
      </c>
      <c r="R34" s="133">
        <v>-0.44965381745663313</v>
      </c>
      <c r="S34" s="133">
        <v>-2.0777568397886208</v>
      </c>
      <c r="T34" s="133">
        <v>-0.62271804936082209</v>
      </c>
      <c r="U34" s="133">
        <v>-0.6068712933939242</v>
      </c>
      <c r="V34" s="133">
        <v>-0.15</v>
      </c>
      <c r="W34" s="133">
        <v>-1.4650000000000001</v>
      </c>
      <c r="X34" s="133">
        <v>-0.46000000000000019</v>
      </c>
      <c r="Y34" s="133">
        <v>-1.5719999999999996</v>
      </c>
      <c r="Z34" s="133">
        <v>-0.747</v>
      </c>
    </row>
    <row r="35" spans="1:26">
      <c r="A35" s="72" t="s">
        <v>166</v>
      </c>
      <c r="B35" s="78">
        <v>-22.9</v>
      </c>
      <c r="C35" s="80">
        <v>-49.5</v>
      </c>
      <c r="D35" s="80">
        <v>-80.8</v>
      </c>
      <c r="E35" s="80">
        <v>-114.2</v>
      </c>
      <c r="F35" s="78">
        <v>-21.9</v>
      </c>
      <c r="G35" s="78">
        <v>-45.2</v>
      </c>
      <c r="H35" s="78">
        <v>-71.900000000000006</v>
      </c>
      <c r="I35" s="80">
        <v>-121.5</v>
      </c>
      <c r="J35" s="78">
        <v>-35.799999999999997</v>
      </c>
      <c r="K35" s="133">
        <v>-51.600000000000009</v>
      </c>
      <c r="L35" s="133">
        <v>-58.799999999999983</v>
      </c>
      <c r="M35" s="133">
        <v>-77</v>
      </c>
      <c r="N35" s="133">
        <v>-34.340000000000003</v>
      </c>
      <c r="O35" s="133">
        <v>-27.193999999999996</v>
      </c>
      <c r="P35" s="133">
        <v>-20.602933580532415</v>
      </c>
      <c r="Q35" s="133">
        <v>-0.21305867431432546</v>
      </c>
      <c r="R35" s="133">
        <v>-10.951585126651375</v>
      </c>
      <c r="S35" s="133">
        <v>-39.137861326785263</v>
      </c>
      <c r="T35" s="133">
        <v>-22.93577484857812</v>
      </c>
      <c r="U35" s="133">
        <v>-9.8607786979852392</v>
      </c>
      <c r="V35" s="133">
        <v>-20.25</v>
      </c>
      <c r="W35" s="133">
        <v>-23.821999999999999</v>
      </c>
      <c r="X35" s="133">
        <v>-31.097999999999999</v>
      </c>
      <c r="Y35" s="133">
        <v>-42.957999999999998</v>
      </c>
      <c r="Z35" s="133">
        <v>-42.530999999999999</v>
      </c>
    </row>
    <row r="36" spans="1:26">
      <c r="A36" s="72" t="s">
        <v>167</v>
      </c>
      <c r="B36" s="78">
        <v>0</v>
      </c>
      <c r="C36" s="80">
        <v>0</v>
      </c>
      <c r="D36" s="80">
        <v>0</v>
      </c>
      <c r="E36" s="80">
        <v>0</v>
      </c>
      <c r="F36" s="78">
        <v>0</v>
      </c>
      <c r="G36" s="78">
        <v>-0.8</v>
      </c>
      <c r="H36" s="78">
        <v>-0.8</v>
      </c>
      <c r="I36" s="80">
        <v>0</v>
      </c>
      <c r="J36" s="78">
        <v>-15.7</v>
      </c>
      <c r="K36" s="133">
        <v>10.299999999999999</v>
      </c>
      <c r="L36" s="133">
        <v>0</v>
      </c>
      <c r="M36" s="133">
        <v>0</v>
      </c>
      <c r="N36" s="133">
        <v>0</v>
      </c>
      <c r="O36" s="133">
        <v>0</v>
      </c>
      <c r="P36" s="133">
        <v>0</v>
      </c>
      <c r="Q36" s="133">
        <v>0</v>
      </c>
      <c r="R36" s="133">
        <v>0</v>
      </c>
      <c r="S36" s="133">
        <v>0</v>
      </c>
      <c r="T36" s="133">
        <v>0</v>
      </c>
      <c r="U36" s="133">
        <v>0</v>
      </c>
      <c r="V36" s="133">
        <v>0</v>
      </c>
      <c r="W36" s="133">
        <v>0</v>
      </c>
      <c r="X36" s="133">
        <v>0</v>
      </c>
      <c r="Y36" s="133">
        <v>0</v>
      </c>
      <c r="Z36" s="133">
        <v>-3</v>
      </c>
    </row>
    <row r="37" spans="1:26">
      <c r="A37" s="69" t="s">
        <v>168</v>
      </c>
      <c r="B37" s="76">
        <v>-23.9</v>
      </c>
      <c r="C37" s="76">
        <v>-51</v>
      </c>
      <c r="D37" s="76">
        <v>-83.2</v>
      </c>
      <c r="E37" s="76">
        <v>-115.7</v>
      </c>
      <c r="F37" s="76">
        <v>-22</v>
      </c>
      <c r="G37" s="76">
        <v>-46.3</v>
      </c>
      <c r="H37" s="76">
        <v>-73.099999999999994</v>
      </c>
      <c r="I37" s="76">
        <v>-133.6</v>
      </c>
      <c r="J37" s="76">
        <f>SUM(J34:J36)</f>
        <v>-60.2</v>
      </c>
      <c r="K37" s="76">
        <f t="shared" ref="K37:W37" si="6">SUM(K34:K36)</f>
        <v>-44.100000000000009</v>
      </c>
      <c r="L37" s="76">
        <f t="shared" si="6"/>
        <v>-61.799999999999983</v>
      </c>
      <c r="M37" s="131">
        <f t="shared" si="6"/>
        <v>-78.7</v>
      </c>
      <c r="N37" s="131">
        <f t="shared" si="6"/>
        <v>-34.834000000000003</v>
      </c>
      <c r="O37" s="131">
        <f t="shared" si="6"/>
        <v>-28.574999999999996</v>
      </c>
      <c r="P37" s="131">
        <f t="shared" si="6"/>
        <v>-22.808530627051304</v>
      </c>
      <c r="Q37" s="131">
        <f t="shared" si="6"/>
        <v>-2.6496064497018956</v>
      </c>
      <c r="R37" s="131">
        <f t="shared" si="6"/>
        <v>-11.401238944108009</v>
      </c>
      <c r="S37" s="131">
        <f t="shared" si="6"/>
        <v>-41.215618166573883</v>
      </c>
      <c r="T37" s="131">
        <f t="shared" si="6"/>
        <v>-23.558492897938944</v>
      </c>
      <c r="U37" s="131">
        <f t="shared" si="6"/>
        <v>-10.467649991379163</v>
      </c>
      <c r="V37" s="131">
        <f t="shared" si="6"/>
        <v>-20.399999999999999</v>
      </c>
      <c r="W37" s="131">
        <f t="shared" si="6"/>
        <v>-25.286999999999999</v>
      </c>
      <c r="X37" s="131">
        <f t="shared" ref="X37" si="7">SUM(X34:X36)</f>
        <v>-31.558</v>
      </c>
      <c r="Y37" s="131">
        <f>SUM(Y33:Y36)</f>
        <v>144.14402842317693</v>
      </c>
      <c r="Z37" s="131">
        <f>SUM(Z33:Z36)</f>
        <v>-167.84753915775195</v>
      </c>
    </row>
    <row r="38" spans="1:26">
      <c r="A38" s="72" t="s">
        <v>169</v>
      </c>
      <c r="B38" s="78">
        <v>60.4</v>
      </c>
      <c r="C38" s="80">
        <v>478.2</v>
      </c>
      <c r="D38" s="80">
        <v>478.2</v>
      </c>
      <c r="E38" s="80">
        <v>478.2</v>
      </c>
      <c r="F38" s="78">
        <v>436.4</v>
      </c>
      <c r="G38" s="78">
        <v>436.4</v>
      </c>
      <c r="H38" s="78">
        <v>436.4</v>
      </c>
      <c r="I38" s="80">
        <v>436.4</v>
      </c>
      <c r="J38" s="78">
        <v>0</v>
      </c>
      <c r="K38" s="133">
        <v>0</v>
      </c>
      <c r="L38" s="133">
        <v>0</v>
      </c>
      <c r="M38" s="133">
        <v>0</v>
      </c>
      <c r="N38" s="133">
        <v>0</v>
      </c>
      <c r="O38" s="133">
        <v>0</v>
      </c>
      <c r="P38" s="133">
        <v>0</v>
      </c>
      <c r="Q38" s="133">
        <v>0</v>
      </c>
      <c r="R38" s="133">
        <v>0</v>
      </c>
      <c r="S38" s="133">
        <v>0</v>
      </c>
      <c r="T38" s="133">
        <v>0</v>
      </c>
      <c r="U38" s="133">
        <v>0</v>
      </c>
      <c r="V38" s="133">
        <v>0</v>
      </c>
      <c r="W38" s="133">
        <v>0</v>
      </c>
      <c r="X38" s="133">
        <v>0</v>
      </c>
      <c r="Y38" s="133">
        <v>0</v>
      </c>
      <c r="Z38" s="133">
        <v>0</v>
      </c>
    </row>
    <row r="39" spans="1:26">
      <c r="A39" s="170" t="s">
        <v>184</v>
      </c>
      <c r="B39" s="171"/>
      <c r="C39" s="171"/>
      <c r="D39" s="171"/>
      <c r="E39" s="171"/>
      <c r="F39" s="171"/>
      <c r="G39" s="171"/>
      <c r="H39" s="171"/>
      <c r="I39" s="171"/>
      <c r="J39" s="171">
        <f>-J22</f>
        <v>0</v>
      </c>
      <c r="K39" s="172">
        <f t="shared" ref="K39:W39" si="8">-K22</f>
        <v>-253.40099999999995</v>
      </c>
      <c r="L39" s="172">
        <f t="shared" si="8"/>
        <v>108.32799999999997</v>
      </c>
      <c r="M39" s="172">
        <f t="shared" si="8"/>
        <v>364.58199999999999</v>
      </c>
      <c r="N39" s="172">
        <f t="shared" si="8"/>
        <v>39.793999999999983</v>
      </c>
      <c r="O39" s="172">
        <f t="shared" si="8"/>
        <v>-0.42300000000000182</v>
      </c>
      <c r="P39" s="172">
        <f t="shared" si="8"/>
        <v>-258.89599999999996</v>
      </c>
      <c r="Q39" s="171">
        <f t="shared" si="8"/>
        <v>20.54200000000003</v>
      </c>
      <c r="R39" s="171">
        <f t="shared" si="8"/>
        <v>32.980000000000018</v>
      </c>
      <c r="S39" s="171">
        <f t="shared" si="8"/>
        <v>-67.827621969999996</v>
      </c>
      <c r="T39" s="171">
        <f t="shared" si="8"/>
        <v>27.991213239999979</v>
      </c>
      <c r="U39" s="171">
        <f t="shared" si="8"/>
        <v>257.37040873000001</v>
      </c>
      <c r="V39" s="171">
        <f t="shared" si="8"/>
        <v>11.824999999999861</v>
      </c>
      <c r="W39" s="171">
        <f t="shared" si="8"/>
        <v>-102.38103124999989</v>
      </c>
      <c r="X39" s="171">
        <f t="shared" ref="X39" si="9">-X22</f>
        <v>28.866960879999894</v>
      </c>
      <c r="Y39" s="171">
        <f>-Y22</f>
        <v>0.72566050000019544</v>
      </c>
      <c r="Z39" s="171">
        <f>-Z22</f>
        <v>70.987539157751939</v>
      </c>
    </row>
    <row r="40" spans="1:26">
      <c r="A40" s="72" t="s">
        <v>170</v>
      </c>
      <c r="B40" s="78">
        <v>-0.1</v>
      </c>
      <c r="C40" s="80">
        <v>-418.5</v>
      </c>
      <c r="D40" s="80">
        <v>-418.7</v>
      </c>
      <c r="E40" s="80">
        <v>-900.9</v>
      </c>
      <c r="F40" s="78">
        <v>-786.6</v>
      </c>
      <c r="G40" s="78">
        <v>-786.6</v>
      </c>
      <c r="H40" s="78">
        <v>-984.1</v>
      </c>
      <c r="I40" s="80">
        <v>-984.1</v>
      </c>
      <c r="J40" s="78">
        <v>0</v>
      </c>
      <c r="K40" s="133">
        <v>-100</v>
      </c>
      <c r="L40" s="133">
        <v>0</v>
      </c>
      <c r="M40" s="133">
        <v>0</v>
      </c>
      <c r="N40" s="133">
        <v>0</v>
      </c>
      <c r="O40" s="133">
        <v>-124.367</v>
      </c>
      <c r="P40" s="133">
        <v>-67.021378360022183</v>
      </c>
      <c r="Q40" s="133">
        <v>0</v>
      </c>
      <c r="R40" s="133">
        <v>0</v>
      </c>
      <c r="S40" s="133">
        <v>0</v>
      </c>
      <c r="T40" s="133">
        <v>0</v>
      </c>
      <c r="U40" s="133">
        <v>-160</v>
      </c>
      <c r="V40" s="133">
        <v>0</v>
      </c>
      <c r="W40" s="133">
        <v>0</v>
      </c>
      <c r="X40" s="133">
        <v>-150</v>
      </c>
      <c r="Y40" s="133">
        <v>0</v>
      </c>
      <c r="Z40" s="133">
        <v>0</v>
      </c>
    </row>
    <row r="41" spans="1:26">
      <c r="A41" s="72" t="s">
        <v>171</v>
      </c>
      <c r="B41" s="78">
        <v>1.7</v>
      </c>
      <c r="C41" s="80">
        <v>1.7</v>
      </c>
      <c r="D41" s="80">
        <v>294.60000000000002</v>
      </c>
      <c r="E41" s="80">
        <v>297.60000000000002</v>
      </c>
      <c r="F41" s="78">
        <v>360</v>
      </c>
      <c r="G41" s="78">
        <v>360</v>
      </c>
      <c r="H41" s="78">
        <v>808.6</v>
      </c>
      <c r="I41" s="80">
        <v>806.6</v>
      </c>
      <c r="J41" s="78">
        <v>0</v>
      </c>
      <c r="K41" s="133">
        <v>378</v>
      </c>
      <c r="L41" s="133">
        <v>0</v>
      </c>
      <c r="M41" s="133">
        <v>0.10000000000002274</v>
      </c>
      <c r="N41" s="133">
        <v>0</v>
      </c>
      <c r="O41" s="133">
        <v>521.76599999999996</v>
      </c>
      <c r="P41" s="133">
        <v>-2.3382999961540918E-4</v>
      </c>
      <c r="Q41" s="133">
        <v>249.11522209999953</v>
      </c>
      <c r="R41" s="133">
        <v>0</v>
      </c>
      <c r="S41" s="133">
        <v>0</v>
      </c>
      <c r="T41" s="133">
        <v>0</v>
      </c>
      <c r="U41" s="133">
        <v>0</v>
      </c>
      <c r="V41" s="133">
        <v>0</v>
      </c>
      <c r="W41" s="133">
        <v>0</v>
      </c>
      <c r="X41" s="133">
        <v>0</v>
      </c>
      <c r="Y41" s="133">
        <v>0</v>
      </c>
      <c r="Z41" s="133">
        <v>0</v>
      </c>
    </row>
    <row r="42" spans="1:26">
      <c r="A42" s="72" t="s">
        <v>172</v>
      </c>
      <c r="B42" s="78">
        <v>-3.8</v>
      </c>
      <c r="C42" s="80">
        <v>-44.8</v>
      </c>
      <c r="D42" s="80">
        <v>-47.5</v>
      </c>
      <c r="E42" s="80">
        <v>-87.9</v>
      </c>
      <c r="F42" s="78">
        <v>-8.9</v>
      </c>
      <c r="G42" s="78">
        <v>-27.4</v>
      </c>
      <c r="H42" s="78">
        <v>-50.6</v>
      </c>
      <c r="I42" s="80">
        <v>-88.1</v>
      </c>
      <c r="J42" s="78">
        <v>-16.100000000000001</v>
      </c>
      <c r="K42" s="133">
        <v>-71.099999999999994</v>
      </c>
      <c r="L42" s="133">
        <v>-15.700000000000003</v>
      </c>
      <c r="M42" s="133">
        <v>-78.099999999999994</v>
      </c>
      <c r="N42" s="133">
        <v>-14.691000000000001</v>
      </c>
      <c r="O42" s="133">
        <v>-63.649999999999991</v>
      </c>
      <c r="P42" s="133">
        <v>-6.9801116858593417</v>
      </c>
      <c r="Q42" s="133">
        <v>-2.0154273065974753</v>
      </c>
      <c r="R42" s="133">
        <v>-2.8009500322755176</v>
      </c>
      <c r="S42" s="133">
        <v>-152.76257241608022</v>
      </c>
      <c r="T42" s="133">
        <v>-1.3417223648239451</v>
      </c>
      <c r="U42" s="133">
        <v>-47.215755186820331</v>
      </c>
      <c r="V42" s="133">
        <v>-1.7</v>
      </c>
      <c r="W42" s="133">
        <v>-49.591000000000001</v>
      </c>
      <c r="X42" s="133">
        <v>-44.958999999999996</v>
      </c>
      <c r="Y42" s="133">
        <v>-11.048000000000002</v>
      </c>
      <c r="Z42" s="133">
        <v>-3.972</v>
      </c>
    </row>
    <row r="43" spans="1:26">
      <c r="A43" s="72" t="s">
        <v>173</v>
      </c>
      <c r="B43" s="78">
        <v>-1.2</v>
      </c>
      <c r="C43" s="80">
        <v>-1.2</v>
      </c>
      <c r="D43" s="80">
        <v>-1.2</v>
      </c>
      <c r="E43" s="80">
        <v>114</v>
      </c>
      <c r="F43" s="78">
        <v>-9.8000000000000007</v>
      </c>
      <c r="G43" s="78">
        <v>-9.8000000000000007</v>
      </c>
      <c r="H43" s="78">
        <v>-9.8000000000000007</v>
      </c>
      <c r="I43" s="80">
        <v>-9.8000000000000007</v>
      </c>
      <c r="J43" s="78">
        <v>0</v>
      </c>
      <c r="K43" s="133">
        <v>0</v>
      </c>
      <c r="L43" s="133">
        <v>0</v>
      </c>
      <c r="M43" s="133">
        <v>0</v>
      </c>
      <c r="N43" s="133">
        <v>0</v>
      </c>
      <c r="O43" s="133">
        <v>0</v>
      </c>
      <c r="P43" s="133">
        <v>0</v>
      </c>
      <c r="Q43" s="133">
        <v>0</v>
      </c>
      <c r="R43" s="133">
        <v>0</v>
      </c>
      <c r="S43" s="133">
        <v>0</v>
      </c>
      <c r="T43" s="133">
        <v>0</v>
      </c>
      <c r="U43" s="133">
        <v>0</v>
      </c>
      <c r="V43" s="133">
        <v>0</v>
      </c>
      <c r="W43" s="133">
        <v>0</v>
      </c>
      <c r="X43" s="133">
        <v>0</v>
      </c>
      <c r="Y43" s="133">
        <v>0</v>
      </c>
      <c r="Z43" s="133">
        <v>0</v>
      </c>
    </row>
    <row r="44" spans="1:26">
      <c r="A44" s="72" t="s">
        <v>174</v>
      </c>
      <c r="B44" s="78">
        <v>-56.5</v>
      </c>
      <c r="C44" s="80">
        <v>-56.5</v>
      </c>
      <c r="D44" s="80">
        <v>-56.5</v>
      </c>
      <c r="E44" s="80">
        <v>-56.5</v>
      </c>
      <c r="F44" s="78">
        <v>0</v>
      </c>
      <c r="G44" s="78">
        <v>0</v>
      </c>
      <c r="H44" s="78">
        <v>0</v>
      </c>
      <c r="I44" s="80">
        <v>0</v>
      </c>
      <c r="J44" s="78">
        <v>0</v>
      </c>
      <c r="K44" s="133">
        <v>0</v>
      </c>
      <c r="L44" s="133">
        <v>0</v>
      </c>
      <c r="M44" s="133">
        <v>0</v>
      </c>
      <c r="N44" s="133">
        <v>0</v>
      </c>
      <c r="O44" s="133">
        <v>0</v>
      </c>
      <c r="P44" s="133">
        <v>0</v>
      </c>
      <c r="Q44" s="133">
        <v>0</v>
      </c>
      <c r="R44" s="133">
        <v>0</v>
      </c>
      <c r="S44" s="133">
        <v>0</v>
      </c>
      <c r="T44" s="133">
        <v>0</v>
      </c>
      <c r="U44" s="133">
        <v>0</v>
      </c>
      <c r="V44" s="133">
        <v>0</v>
      </c>
      <c r="W44" s="133">
        <v>0</v>
      </c>
      <c r="X44" s="133">
        <v>0</v>
      </c>
      <c r="Y44" s="133">
        <v>0</v>
      </c>
      <c r="Z44" s="133">
        <v>0</v>
      </c>
    </row>
    <row r="45" spans="1:26">
      <c r="A45" s="72" t="s">
        <v>175</v>
      </c>
      <c r="J45" s="78">
        <v>0</v>
      </c>
      <c r="K45" s="133">
        <v>0</v>
      </c>
      <c r="L45" s="133">
        <v>0</v>
      </c>
      <c r="M45" s="133">
        <v>0</v>
      </c>
      <c r="N45" s="133">
        <v>0</v>
      </c>
      <c r="O45" s="133">
        <v>0</v>
      </c>
      <c r="P45" s="133">
        <v>0</v>
      </c>
      <c r="Q45" s="133">
        <v>0</v>
      </c>
      <c r="R45" s="133">
        <v>0</v>
      </c>
      <c r="S45" s="133">
        <v>0</v>
      </c>
      <c r="T45" s="133">
        <v>0</v>
      </c>
      <c r="U45" s="133">
        <v>0</v>
      </c>
      <c r="V45" s="133">
        <v>-1.4</v>
      </c>
      <c r="W45" s="133">
        <v>-1.998</v>
      </c>
      <c r="X45" s="133">
        <v>-5.4990000000000006</v>
      </c>
      <c r="Y45" s="133">
        <v>-0.79999999999999893</v>
      </c>
      <c r="Z45" s="133">
        <v>0</v>
      </c>
    </row>
    <row r="46" spans="1:26">
      <c r="A46" s="72" t="s">
        <v>176</v>
      </c>
      <c r="B46" s="78">
        <v>0</v>
      </c>
      <c r="C46" s="80">
        <v>0</v>
      </c>
      <c r="D46" s="80">
        <v>0</v>
      </c>
      <c r="E46" s="80">
        <v>0</v>
      </c>
      <c r="F46" s="78">
        <v>0.8</v>
      </c>
      <c r="G46" s="78">
        <v>1.6</v>
      </c>
      <c r="H46" s="78">
        <v>0</v>
      </c>
      <c r="I46" s="80">
        <v>0</v>
      </c>
      <c r="J46" s="78">
        <v>0</v>
      </c>
      <c r="K46" s="133">
        <v>0</v>
      </c>
      <c r="L46" s="133">
        <v>0</v>
      </c>
      <c r="M46" s="133">
        <v>0</v>
      </c>
      <c r="N46" s="133">
        <v>0</v>
      </c>
      <c r="O46" s="133">
        <v>0</v>
      </c>
      <c r="P46" s="133">
        <v>0</v>
      </c>
      <c r="Q46" s="133">
        <v>0</v>
      </c>
      <c r="R46" s="133">
        <v>0</v>
      </c>
      <c r="S46" s="133">
        <v>0</v>
      </c>
      <c r="T46" s="133">
        <v>0</v>
      </c>
      <c r="U46" s="133">
        <v>0</v>
      </c>
      <c r="V46" s="133">
        <v>0</v>
      </c>
      <c r="W46" s="133">
        <v>0</v>
      </c>
      <c r="X46" s="133">
        <v>0</v>
      </c>
      <c r="Y46" s="133">
        <v>0</v>
      </c>
      <c r="Z46" s="133">
        <v>0</v>
      </c>
    </row>
    <row r="47" spans="1:26">
      <c r="A47" s="72" t="s">
        <v>177</v>
      </c>
      <c r="B47" s="78">
        <v>0</v>
      </c>
      <c r="C47" s="80">
        <v>0</v>
      </c>
      <c r="D47" s="80">
        <v>0</v>
      </c>
      <c r="E47" s="80">
        <v>0</v>
      </c>
      <c r="F47" s="78">
        <v>0</v>
      </c>
      <c r="G47" s="78">
        <v>0</v>
      </c>
      <c r="H47" s="78">
        <v>0</v>
      </c>
      <c r="I47" s="80">
        <v>0</v>
      </c>
      <c r="J47" s="78">
        <v>0</v>
      </c>
      <c r="K47" s="133">
        <v>-25.1</v>
      </c>
      <c r="L47" s="133">
        <v>-18.299999999999997</v>
      </c>
      <c r="M47" s="133">
        <v>-8.2000000000000028</v>
      </c>
      <c r="N47" s="133">
        <v>0</v>
      </c>
      <c r="O47" s="133">
        <v>-14.829000000000001</v>
      </c>
      <c r="P47" s="133">
        <v>4.6756000000236497E-4</v>
      </c>
      <c r="Q47" s="133">
        <v>0</v>
      </c>
      <c r="R47" s="133">
        <v>-1.0431725603961699</v>
      </c>
      <c r="S47" s="133">
        <v>-14.1239539</v>
      </c>
      <c r="T47" s="133">
        <v>0</v>
      </c>
      <c r="U47" s="133">
        <v>1.2646039617081328E-4</v>
      </c>
      <c r="V47" s="133">
        <v>0</v>
      </c>
      <c r="W47" s="133">
        <v>-0.22900000000000001</v>
      </c>
      <c r="X47" s="133">
        <v>0</v>
      </c>
      <c r="Y47" s="133">
        <v>0</v>
      </c>
      <c r="Z47" s="133">
        <v>0</v>
      </c>
    </row>
    <row r="48" spans="1:26">
      <c r="A48" s="72" t="s">
        <v>178</v>
      </c>
      <c r="B48" s="78">
        <v>-11.4</v>
      </c>
      <c r="C48" s="80">
        <v>-9.5</v>
      </c>
      <c r="D48" s="80">
        <v>-13.3</v>
      </c>
      <c r="E48" s="80">
        <v>-17.600000000000001</v>
      </c>
      <c r="F48" s="78">
        <v>-5.4</v>
      </c>
      <c r="G48" s="78">
        <v>-7.7</v>
      </c>
      <c r="H48" s="78">
        <v>-8.4</v>
      </c>
      <c r="I48" s="80">
        <v>-10.9</v>
      </c>
      <c r="J48" s="78">
        <v>-9.4</v>
      </c>
      <c r="K48" s="133">
        <v>-2.0999999999999996</v>
      </c>
      <c r="L48" s="133">
        <v>-2.0999999999999996</v>
      </c>
      <c r="M48" s="133">
        <v>-2.7999999999999989</v>
      </c>
      <c r="N48" s="133">
        <v>-9.4779999999999998</v>
      </c>
      <c r="O48" s="133">
        <v>-1.968</v>
      </c>
      <c r="P48" s="133">
        <v>-2.1981165282047197</v>
      </c>
      <c r="Q48" s="133">
        <v>-2.0616158684227042</v>
      </c>
      <c r="R48" s="133">
        <v>-16.583936452743117</v>
      </c>
      <c r="S48" s="133">
        <v>-4.9076401121029409</v>
      </c>
      <c r="T48" s="133">
        <v>-3.4418984982841141</v>
      </c>
      <c r="U48" s="133">
        <v>-6.002524936869829</v>
      </c>
      <c r="V48" s="133">
        <v>-9.6999999999999993</v>
      </c>
      <c r="W48" s="133">
        <v>-6.4279999999999999</v>
      </c>
      <c r="X48" s="133">
        <v>-15.591000000000001</v>
      </c>
      <c r="Y48" s="133">
        <v>-22.756</v>
      </c>
      <c r="Z48" s="133">
        <v>-14.304</v>
      </c>
    </row>
    <row r="49" spans="1:26">
      <c r="A49" s="69" t="s">
        <v>179</v>
      </c>
      <c r="B49" s="76">
        <v>-45</v>
      </c>
      <c r="C49" s="76">
        <v>-103.2</v>
      </c>
      <c r="D49" s="76">
        <v>182.9</v>
      </c>
      <c r="E49" s="76">
        <v>-227</v>
      </c>
      <c r="F49" s="76">
        <v>-37.299999999999997</v>
      </c>
      <c r="G49" s="76">
        <v>-72.099999999999994</v>
      </c>
      <c r="H49" s="76">
        <v>153.4</v>
      </c>
      <c r="I49" s="76">
        <v>110.6</v>
      </c>
      <c r="J49" s="76">
        <f>SUM(J38:J48)</f>
        <v>-25.5</v>
      </c>
      <c r="K49" s="76">
        <f t="shared" ref="K49:W49" si="10">SUM(K38:K48)</f>
        <v>-73.700999999999937</v>
      </c>
      <c r="L49" s="76">
        <f t="shared" si="10"/>
        <v>72.22799999999998</v>
      </c>
      <c r="M49" s="131">
        <f t="shared" si="10"/>
        <v>275.58199999999999</v>
      </c>
      <c r="N49" s="131">
        <f t="shared" si="10"/>
        <v>15.62499999999998</v>
      </c>
      <c r="O49" s="131">
        <f t="shared" si="10"/>
        <v>316.52899999999994</v>
      </c>
      <c r="P49" s="131">
        <f t="shared" si="10"/>
        <v>-335.09537284408583</v>
      </c>
      <c r="Q49" s="131">
        <f t="shared" si="10"/>
        <v>265.58017892497941</v>
      </c>
      <c r="R49" s="131">
        <f t="shared" si="10"/>
        <v>12.551940954585216</v>
      </c>
      <c r="S49" s="131">
        <f t="shared" si="10"/>
        <v>-239.62178839818316</v>
      </c>
      <c r="T49" s="131">
        <f t="shared" si="10"/>
        <v>23.20759237689192</v>
      </c>
      <c r="U49" s="131">
        <f t="shared" si="10"/>
        <v>44.152255066706019</v>
      </c>
      <c r="V49" s="131">
        <f t="shared" si="10"/>
        <v>-0.9750000000001382</v>
      </c>
      <c r="W49" s="131">
        <f t="shared" si="10"/>
        <v>-160.6270312499999</v>
      </c>
      <c r="X49" s="131">
        <f t="shared" ref="X49" si="11">SUM(X38:X48)</f>
        <v>-187.1820391200001</v>
      </c>
      <c r="Y49" s="131">
        <f>SUM(Y38:Y48)</f>
        <v>-33.878339499999804</v>
      </c>
      <c r="Z49" s="131">
        <f>SUM(Z38:Z48)</f>
        <v>52.711539157751943</v>
      </c>
    </row>
    <row r="50" spans="1:26">
      <c r="A50" s="73" t="s">
        <v>180</v>
      </c>
      <c r="B50" s="78">
        <v>-21.7</v>
      </c>
      <c r="C50" s="80">
        <v>-53.6</v>
      </c>
      <c r="D50" s="81">
        <v>-59.8</v>
      </c>
      <c r="E50" s="81">
        <v>39.1</v>
      </c>
      <c r="F50" s="78">
        <v>18.3</v>
      </c>
      <c r="G50" s="78">
        <v>-5.9</v>
      </c>
      <c r="H50" s="78">
        <v>8.1</v>
      </c>
      <c r="I50" s="81">
        <v>12.5</v>
      </c>
      <c r="J50" s="78">
        <v>-16.8</v>
      </c>
      <c r="K50" s="133">
        <v>3.7000000000000011</v>
      </c>
      <c r="L50" s="133">
        <v>2.4000000000000004</v>
      </c>
      <c r="M50" s="133">
        <v>-0.20000000000000107</v>
      </c>
      <c r="N50" s="133">
        <v>-3.048</v>
      </c>
      <c r="O50" s="133">
        <v>-4.0549999999999997</v>
      </c>
      <c r="P50" s="133">
        <v>1.6256356209056984</v>
      </c>
      <c r="Q50" s="133">
        <v>-1.5153932746798056</v>
      </c>
      <c r="R50" s="133">
        <v>1.2507661609401133</v>
      </c>
      <c r="S50" s="133">
        <v>8.9096036325057124</v>
      </c>
      <c r="T50" s="133">
        <v>-1.5912725342790308</v>
      </c>
      <c r="U50" s="133">
        <v>23.246902740833203</v>
      </c>
      <c r="V50" s="133">
        <v>-14.7</v>
      </c>
      <c r="W50" s="133">
        <v>-4.9139999999999997</v>
      </c>
      <c r="X50" s="133">
        <v>-1.3440000000000012</v>
      </c>
      <c r="Y50" s="133">
        <v>-0.48500000000000298</v>
      </c>
      <c r="Z50" s="133">
        <v>-4.258</v>
      </c>
    </row>
    <row r="51" spans="1:26">
      <c r="A51" s="69" t="s">
        <v>181</v>
      </c>
      <c r="B51" s="76">
        <v>240.4</v>
      </c>
      <c r="C51" s="76">
        <v>708.5</v>
      </c>
      <c r="D51" s="76">
        <v>1281.9000000000001</v>
      </c>
      <c r="E51" s="76">
        <v>545.1</v>
      </c>
      <c r="F51" s="76">
        <v>-199</v>
      </c>
      <c r="G51" s="76">
        <v>-326.89999999999998</v>
      </c>
      <c r="H51" s="76">
        <v>-247.3</v>
      </c>
      <c r="I51" s="76">
        <v>-115</v>
      </c>
      <c r="J51" s="76">
        <f>J33+J37+J49+J50</f>
        <v>-16.799999999999986</v>
      </c>
      <c r="K51" s="76">
        <f t="shared" ref="K51:W51" si="12">K33+K37+K49+K50</f>
        <v>-299.59999999999997</v>
      </c>
      <c r="L51" s="76">
        <f t="shared" si="12"/>
        <v>-77.099999999999966</v>
      </c>
      <c r="M51" s="131">
        <f t="shared" si="12"/>
        <v>285.3</v>
      </c>
      <c r="N51" s="131">
        <f t="shared" si="12"/>
        <v>-261.23400000000004</v>
      </c>
      <c r="O51" s="131">
        <f t="shared" si="12"/>
        <v>219.93099999999993</v>
      </c>
      <c r="P51" s="131">
        <f t="shared" si="12"/>
        <v>-424.55728150762837</v>
      </c>
      <c r="Q51" s="131">
        <f t="shared" si="12"/>
        <v>261.24570873068654</v>
      </c>
      <c r="R51" s="131">
        <f t="shared" si="12"/>
        <v>-42.580035792896638</v>
      </c>
      <c r="S51" s="131">
        <f t="shared" si="12"/>
        <v>-195.99949823778024</v>
      </c>
      <c r="T51" s="131">
        <f t="shared" si="12"/>
        <v>139.28965023785526</v>
      </c>
      <c r="U51" s="131">
        <f t="shared" si="12"/>
        <v>16.692883792821529</v>
      </c>
      <c r="V51" s="131">
        <f t="shared" si="12"/>
        <v>-89.3</v>
      </c>
      <c r="W51" s="131">
        <f t="shared" si="12"/>
        <v>-59.802000000000007</v>
      </c>
      <c r="X51" s="131">
        <f t="shared" ref="X51" si="13">X33+X37+X49+X50</f>
        <v>-74.152686102974599</v>
      </c>
      <c r="Y51" s="131">
        <f>Y37+Y49+Y50</f>
        <v>109.78068892317712</v>
      </c>
      <c r="Z51" s="131">
        <f>Z37+Z49+Z50</f>
        <v>-119.39400000000001</v>
      </c>
    </row>
    <row r="52" spans="1:26">
      <c r="A52" s="74" t="s">
        <v>182</v>
      </c>
      <c r="B52" s="78">
        <v>365.7</v>
      </c>
      <c r="C52" s="80">
        <v>365.7</v>
      </c>
      <c r="D52" s="80">
        <v>365.7</v>
      </c>
      <c r="E52" s="80">
        <v>365.7</v>
      </c>
      <c r="F52" s="78">
        <v>910.8</v>
      </c>
      <c r="G52" s="78">
        <v>910.8</v>
      </c>
      <c r="H52" s="78">
        <v>910.8</v>
      </c>
      <c r="I52" s="80">
        <v>910.8</v>
      </c>
      <c r="J52" s="78">
        <v>795.8</v>
      </c>
      <c r="K52" s="133">
        <f>J53</f>
        <v>779.4</v>
      </c>
      <c r="L52" s="133">
        <f t="shared" ref="L52:T52" si="14">K53</f>
        <v>479.5</v>
      </c>
      <c r="M52" s="133">
        <f t="shared" si="14"/>
        <v>402.4</v>
      </c>
      <c r="N52" s="133">
        <f t="shared" si="14"/>
        <v>687.5</v>
      </c>
      <c r="O52" s="133">
        <f t="shared" si="14"/>
        <v>426.2</v>
      </c>
      <c r="P52" s="133">
        <f t="shared" si="14"/>
        <v>646.14200000000005</v>
      </c>
      <c r="Q52" s="133">
        <f t="shared" si="14"/>
        <v>221.58464413571787</v>
      </c>
      <c r="R52" s="133">
        <f t="shared" si="14"/>
        <v>482.8296436209057</v>
      </c>
      <c r="S52" s="133">
        <f t="shared" si="14"/>
        <v>440.156951669318</v>
      </c>
      <c r="T52" s="133">
        <f t="shared" si="14"/>
        <v>244.15499060590611</v>
      </c>
      <c r="U52" s="133">
        <v>383.44464084376136</v>
      </c>
      <c r="V52" s="133">
        <v>400.2</v>
      </c>
      <c r="W52" s="133">
        <f>V53</f>
        <v>310.89999999999998</v>
      </c>
      <c r="X52" s="133">
        <f>W53</f>
        <v>251</v>
      </c>
      <c r="Y52" s="133">
        <v>176.91200000000001</v>
      </c>
      <c r="Z52" s="133">
        <f>Y53</f>
        <v>286.72699999999998</v>
      </c>
    </row>
    <row r="53" spans="1:26">
      <c r="A53" s="75" t="s">
        <v>183</v>
      </c>
      <c r="B53" s="79">
        <v>606.1</v>
      </c>
      <c r="C53" s="79">
        <v>1074.2</v>
      </c>
      <c r="D53" s="79">
        <v>1647.6</v>
      </c>
      <c r="E53" s="79">
        <v>910.8</v>
      </c>
      <c r="F53" s="79">
        <v>711.9</v>
      </c>
      <c r="G53" s="79">
        <v>583.9</v>
      </c>
      <c r="H53" s="79">
        <v>663.5</v>
      </c>
      <c r="I53" s="79">
        <v>795.8</v>
      </c>
      <c r="J53" s="79">
        <f>Corp_BS!N8</f>
        <v>779.4</v>
      </c>
      <c r="K53" s="134">
        <f>Corp_BS!O8</f>
        <v>479.5</v>
      </c>
      <c r="L53" s="134">
        <f>Corp_BS!P8</f>
        <v>402.4</v>
      </c>
      <c r="M53" s="134">
        <f>Corp_BS!Q8</f>
        <v>687.5</v>
      </c>
      <c r="N53" s="134">
        <f>Corp_BS!R8</f>
        <v>426.2</v>
      </c>
      <c r="O53" s="134">
        <f>Corp_BS!S8</f>
        <v>646.14200000000005</v>
      </c>
      <c r="P53" s="134">
        <f>Corp_BS!T8</f>
        <v>221.58464413571787</v>
      </c>
      <c r="Q53" s="134">
        <f>Corp_BS!U8</f>
        <v>482.8296436209057</v>
      </c>
      <c r="R53" s="134">
        <f>Corp_BS!V8</f>
        <v>440.156951669318</v>
      </c>
      <c r="S53" s="134">
        <f>Corp_BS!W8</f>
        <v>244.15499060590611</v>
      </c>
      <c r="T53" s="134">
        <f>Corp_BS!X8</f>
        <v>383.44510254060708</v>
      </c>
      <c r="U53" s="134">
        <v>400.233</v>
      </c>
      <c r="V53" s="134">
        <v>310.89999999999998</v>
      </c>
      <c r="W53" s="134">
        <v>251</v>
      </c>
      <c r="X53" s="134">
        <v>251</v>
      </c>
      <c r="Y53" s="134">
        <v>286.72699999999998</v>
      </c>
      <c r="Z53" s="134">
        <v>167.333</v>
      </c>
    </row>
    <row r="54" spans="1:26">
      <c r="B54" s="62"/>
      <c r="C54"/>
      <c r="D54"/>
      <c r="E54"/>
      <c r="F54"/>
      <c r="G54"/>
      <c r="J54" s="62"/>
      <c r="K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1:26">
      <c r="L55" s="59"/>
      <c r="M55" s="59"/>
      <c r="N55" s="59"/>
      <c r="O55" s="59"/>
      <c r="P55" s="59"/>
    </row>
    <row r="57" spans="1:26" ht="4.5" customHeight="1">
      <c r="A57" s="32"/>
      <c r="B57" s="67"/>
      <c r="C57" s="33"/>
      <c r="D57" s="33"/>
      <c r="E57" s="33"/>
      <c r="F57" s="33"/>
      <c r="G57" s="33"/>
      <c r="H57" s="33"/>
      <c r="I57" s="33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>
      <c r="B58" s="62"/>
      <c r="C58"/>
      <c r="D58"/>
      <c r="E58"/>
      <c r="F58"/>
      <c r="G58"/>
      <c r="J58" s="62"/>
      <c r="K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1:26">
      <c r="A59" t="s">
        <v>33</v>
      </c>
    </row>
    <row r="60" spans="1:26">
      <c r="B60" s="68"/>
      <c r="C60" s="68"/>
      <c r="D60" s="68"/>
      <c r="E60" s="68"/>
      <c r="F60" s="68"/>
      <c r="G60" s="68"/>
      <c r="H60" s="68"/>
      <c r="I60" s="68"/>
      <c r="J60" s="68"/>
      <c r="K60" s="68"/>
      <c r="Q60" s="68"/>
      <c r="R60" s="68"/>
      <c r="S60" s="68"/>
      <c r="T60" s="68"/>
      <c r="U60" s="68"/>
      <c r="V60" s="68"/>
      <c r="W60" s="68"/>
      <c r="X60" s="68"/>
      <c r="Y60" s="68"/>
      <c r="Z60" s="68"/>
    </row>
    <row r="61" spans="1:26">
      <c r="B61" s="68"/>
      <c r="C61" s="68"/>
      <c r="D61" s="68"/>
      <c r="E61" s="68"/>
      <c r="F61" s="68"/>
      <c r="G61" s="68"/>
      <c r="H61" s="68"/>
      <c r="I61" s="68"/>
      <c r="J61" s="68"/>
      <c r="K61" s="68"/>
      <c r="Q61" s="68"/>
      <c r="R61" s="68"/>
      <c r="S61" s="68"/>
      <c r="T61" s="68"/>
      <c r="U61" s="68"/>
      <c r="V61" s="68"/>
      <c r="W61" s="68"/>
      <c r="X61" s="68"/>
      <c r="Y61" s="68"/>
      <c r="Z61" s="68"/>
    </row>
    <row r="62" spans="1:26">
      <c r="B62" s="68"/>
      <c r="C62" s="68"/>
      <c r="D62" s="68"/>
      <c r="E62" s="68"/>
      <c r="F62" s="68"/>
      <c r="G62" s="68"/>
      <c r="H62" s="68"/>
      <c r="I62" s="68"/>
      <c r="J62" s="68"/>
      <c r="K62" s="68"/>
      <c r="Q62" s="68"/>
      <c r="R62" s="68"/>
      <c r="S62" s="68"/>
      <c r="T62" s="68"/>
      <c r="U62" s="68"/>
      <c r="V62" s="68"/>
      <c r="W62" s="68"/>
      <c r="X62" s="68"/>
      <c r="Y62" s="68"/>
      <c r="Z62" s="68"/>
    </row>
    <row r="63" spans="1:26">
      <c r="B63" s="68"/>
      <c r="C63" s="68"/>
      <c r="D63" s="68"/>
      <c r="E63" s="68"/>
      <c r="F63" s="68"/>
      <c r="G63" s="68"/>
      <c r="H63" s="68"/>
      <c r="I63" s="68"/>
      <c r="J63" s="68"/>
      <c r="K63" s="68"/>
      <c r="Q63" s="68"/>
      <c r="R63" s="68"/>
      <c r="S63" s="68"/>
      <c r="T63" s="68"/>
      <c r="U63" s="68"/>
      <c r="V63" s="68"/>
      <c r="W63" s="68"/>
      <c r="X63" s="68"/>
      <c r="Y63" s="68"/>
      <c r="Z63" s="68"/>
    </row>
    <row r="64" spans="1:26">
      <c r="B64" s="68"/>
      <c r="C64" s="68"/>
      <c r="D64" s="68"/>
      <c r="E64" s="68"/>
      <c r="F64" s="68"/>
      <c r="G64" s="68"/>
      <c r="H64" s="68"/>
      <c r="I64" s="68"/>
      <c r="J64" s="68"/>
      <c r="K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2:26">
      <c r="B65" s="68"/>
      <c r="C65" s="68"/>
      <c r="D65" s="68"/>
      <c r="E65" s="68"/>
      <c r="F65" s="68"/>
      <c r="G65" s="68"/>
      <c r="H65" s="68"/>
      <c r="I65" s="68"/>
      <c r="J65" s="68"/>
      <c r="K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2:26">
      <c r="B66" s="68"/>
      <c r="C66" s="68"/>
      <c r="D66" s="68"/>
      <c r="E66" s="68"/>
      <c r="F66" s="68"/>
      <c r="G66" s="68"/>
      <c r="H66" s="68"/>
      <c r="I66" s="68"/>
      <c r="J66" s="68"/>
      <c r="K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2:26">
      <c r="B67" s="68"/>
      <c r="C67" s="68"/>
      <c r="D67" s="68"/>
      <c r="E67" s="68"/>
      <c r="F67" s="68"/>
      <c r="G67" s="68"/>
      <c r="H67" s="68"/>
      <c r="I67" s="68"/>
      <c r="J67" s="68"/>
      <c r="K67" s="68"/>
      <c r="Q67" s="68"/>
      <c r="R67" s="68"/>
      <c r="S67" s="68"/>
      <c r="T67" s="68"/>
      <c r="U67" s="68"/>
      <c r="V67" s="68"/>
      <c r="W67" s="68"/>
      <c r="X67" s="68"/>
      <c r="Y67" s="68"/>
      <c r="Z67" s="68"/>
    </row>
    <row r="68" spans="2:26">
      <c r="B68" s="68"/>
      <c r="C68" s="68"/>
      <c r="D68" s="68"/>
      <c r="E68" s="68"/>
      <c r="F68" s="68"/>
      <c r="G68" s="68"/>
      <c r="H68" s="68"/>
      <c r="I68" s="68"/>
      <c r="J68" s="68"/>
      <c r="K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2:26">
      <c r="B69" s="68"/>
      <c r="C69" s="68"/>
      <c r="D69" s="68"/>
      <c r="E69" s="68"/>
      <c r="F69" s="68"/>
      <c r="G69" s="68"/>
      <c r="H69" s="68"/>
      <c r="I69" s="68"/>
      <c r="J69" s="68"/>
      <c r="K69" s="68"/>
      <c r="Q69" s="68"/>
      <c r="R69" s="68"/>
      <c r="S69" s="68"/>
      <c r="T69" s="68"/>
      <c r="U69" s="68"/>
      <c r="V69" s="68"/>
      <c r="W69" s="68"/>
      <c r="X69" s="68"/>
      <c r="Y69" s="68"/>
      <c r="Z69" s="68"/>
    </row>
    <row r="70" spans="2:26">
      <c r="B70" s="68"/>
      <c r="C70" s="68"/>
      <c r="D70" s="68"/>
      <c r="E70" s="68"/>
      <c r="F70" s="68"/>
      <c r="G70" s="68"/>
      <c r="H70" s="68"/>
      <c r="I70" s="68"/>
      <c r="J70" s="68"/>
      <c r="K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2:26">
      <c r="B71" s="68"/>
      <c r="C71" s="68"/>
      <c r="D71" s="68"/>
      <c r="E71" s="68"/>
      <c r="F71" s="68"/>
      <c r="G71" s="68"/>
      <c r="H71" s="68"/>
      <c r="I71" s="68"/>
      <c r="J71" s="68"/>
      <c r="K71" s="68"/>
      <c r="Q71" s="68"/>
      <c r="R71" s="68"/>
      <c r="S71" s="68"/>
      <c r="T71" s="68"/>
      <c r="U71" s="68"/>
      <c r="V71" s="68"/>
      <c r="W71" s="68"/>
      <c r="X71" s="68"/>
      <c r="Y71" s="68"/>
      <c r="Z71" s="68"/>
    </row>
    <row r="72" spans="2:26">
      <c r="B72" s="68"/>
      <c r="C72" s="68"/>
      <c r="D72" s="68"/>
      <c r="E72" s="68"/>
      <c r="F72" s="68"/>
      <c r="G72" s="68"/>
      <c r="H72" s="68"/>
      <c r="I72" s="68"/>
      <c r="J72" s="68"/>
      <c r="K72" s="68"/>
      <c r="Q72" s="68"/>
      <c r="R72" s="68"/>
      <c r="S72" s="68"/>
      <c r="T72" s="68"/>
      <c r="U72" s="68"/>
      <c r="V72" s="68"/>
      <c r="W72" s="68"/>
      <c r="X72" s="68"/>
      <c r="Y72" s="68"/>
      <c r="Z72" s="68"/>
    </row>
    <row r="73" spans="2:26">
      <c r="B73" s="68"/>
      <c r="C73" s="68"/>
      <c r="D73" s="68"/>
      <c r="E73" s="68"/>
      <c r="F73" s="68"/>
      <c r="G73" s="68"/>
      <c r="H73" s="68"/>
      <c r="I73" s="68"/>
      <c r="J73" s="68"/>
      <c r="K73" s="68"/>
      <c r="Q73" s="68"/>
      <c r="R73" s="68"/>
      <c r="S73" s="68"/>
      <c r="T73" s="68"/>
      <c r="U73" s="68"/>
      <c r="V73" s="68"/>
      <c r="W73" s="68"/>
      <c r="X73" s="68"/>
      <c r="Y73" s="68"/>
      <c r="Z73" s="68"/>
    </row>
    <row r="74" spans="2:26">
      <c r="B74" s="68"/>
      <c r="C74" s="68"/>
      <c r="D74" s="68"/>
      <c r="E74" s="68"/>
      <c r="F74" s="68"/>
      <c r="G74" s="68"/>
      <c r="H74" s="68"/>
      <c r="I74" s="68"/>
      <c r="J74" s="68"/>
      <c r="K74" s="68"/>
      <c r="Q74" s="68"/>
      <c r="R74" s="68"/>
      <c r="S74" s="68"/>
      <c r="T74" s="68"/>
      <c r="U74" s="68"/>
      <c r="V74" s="68"/>
      <c r="W74" s="68"/>
      <c r="X74" s="68"/>
      <c r="Y74" s="68"/>
      <c r="Z74" s="68"/>
    </row>
    <row r="75" spans="2:26">
      <c r="B75" s="68"/>
      <c r="C75" s="68"/>
      <c r="D75" s="68"/>
      <c r="E75" s="68"/>
      <c r="F75" s="68"/>
      <c r="G75" s="68"/>
      <c r="H75" s="68"/>
      <c r="I75" s="68"/>
      <c r="J75" s="68"/>
      <c r="K75" s="68"/>
      <c r="Q75" s="68"/>
      <c r="R75" s="68"/>
      <c r="S75" s="68"/>
      <c r="T75" s="68"/>
      <c r="U75" s="68"/>
      <c r="V75" s="68"/>
      <c r="W75" s="68"/>
      <c r="X75" s="68"/>
      <c r="Y75" s="68"/>
      <c r="Z75" s="68"/>
    </row>
    <row r="76" spans="2:26">
      <c r="B76" s="68"/>
      <c r="C76" s="68"/>
      <c r="D76" s="68"/>
      <c r="E76" s="68"/>
      <c r="F76" s="68"/>
      <c r="G76" s="68"/>
      <c r="H76" s="68"/>
      <c r="I76" s="68"/>
      <c r="J76" s="68"/>
      <c r="K76" s="68"/>
      <c r="Q76" s="68"/>
      <c r="R76" s="68"/>
      <c r="S76" s="68"/>
      <c r="T76" s="68"/>
      <c r="U76" s="68"/>
      <c r="V76" s="68"/>
      <c r="W76" s="68"/>
      <c r="X76" s="68"/>
      <c r="Y76" s="68"/>
      <c r="Z76" s="68"/>
    </row>
    <row r="77" spans="2:26">
      <c r="B77" s="68"/>
      <c r="C77" s="68"/>
      <c r="D77" s="68"/>
      <c r="E77" s="68"/>
      <c r="F77" s="68"/>
      <c r="G77" s="68"/>
      <c r="H77" s="68"/>
      <c r="I77" s="68"/>
      <c r="J77" s="68"/>
      <c r="K77" s="68"/>
      <c r="Q77" s="68"/>
      <c r="R77" s="68"/>
      <c r="S77" s="68"/>
      <c r="T77" s="68"/>
      <c r="U77" s="68"/>
      <c r="V77" s="68"/>
      <c r="W77" s="68"/>
      <c r="X77" s="68"/>
      <c r="Y77" s="68"/>
      <c r="Z77" s="68"/>
    </row>
    <row r="78" spans="2:26">
      <c r="B78" s="68"/>
      <c r="C78" s="68"/>
      <c r="D78" s="68"/>
      <c r="E78" s="68"/>
      <c r="F78" s="68"/>
      <c r="G78" s="68"/>
      <c r="H78" s="68"/>
      <c r="I78" s="68"/>
      <c r="J78" s="68"/>
      <c r="K78" s="68"/>
      <c r="Q78" s="68"/>
      <c r="R78" s="68"/>
      <c r="S78" s="68"/>
      <c r="T78" s="68"/>
      <c r="U78" s="68"/>
      <c r="V78" s="68"/>
      <c r="W78" s="68"/>
      <c r="X78" s="68"/>
      <c r="Y78" s="68"/>
      <c r="Z78" s="68"/>
    </row>
    <row r="79" spans="2:26">
      <c r="B79" s="68"/>
      <c r="C79" s="68"/>
      <c r="D79" s="68"/>
      <c r="E79" s="68"/>
      <c r="F79" s="68"/>
      <c r="G79" s="68"/>
      <c r="H79" s="68"/>
      <c r="I79" s="68"/>
      <c r="J79" s="68"/>
      <c r="K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2:26">
      <c r="B80" s="68"/>
      <c r="C80" s="68"/>
      <c r="D80" s="68"/>
      <c r="E80" s="68"/>
      <c r="F80" s="68"/>
      <c r="G80" s="68"/>
      <c r="H80" s="68"/>
      <c r="I80" s="68"/>
      <c r="J80" s="68"/>
      <c r="K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2:26">
      <c r="B81" s="68"/>
      <c r="C81" s="68"/>
      <c r="D81" s="68"/>
      <c r="E81" s="68"/>
      <c r="F81" s="68"/>
      <c r="G81" s="68"/>
      <c r="H81" s="68"/>
      <c r="I81" s="68"/>
      <c r="J81" s="68"/>
      <c r="K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2:26">
      <c r="B82" s="68"/>
      <c r="C82" s="68"/>
      <c r="D82" s="68"/>
      <c r="E82" s="68"/>
      <c r="F82" s="68"/>
      <c r="G82" s="68"/>
      <c r="H82" s="68"/>
      <c r="I82" s="68"/>
      <c r="J82" s="68"/>
      <c r="K82" s="68"/>
      <c r="Q82" s="68"/>
      <c r="R82" s="68"/>
      <c r="S82" s="68"/>
      <c r="T82" s="68"/>
      <c r="U82" s="68"/>
      <c r="V82" s="68"/>
      <c r="W82" s="68"/>
      <c r="X82" s="68"/>
      <c r="Y82" s="68"/>
      <c r="Z82" s="68"/>
    </row>
    <row r="83" spans="2:26">
      <c r="B83" s="68"/>
      <c r="C83" s="68"/>
      <c r="D83" s="68"/>
      <c r="E83" s="68"/>
      <c r="F83" s="68"/>
      <c r="G83" s="68"/>
      <c r="H83" s="68"/>
      <c r="I83" s="68"/>
      <c r="J83" s="68"/>
      <c r="K83" s="68"/>
      <c r="Q83" s="68"/>
      <c r="R83" s="68"/>
      <c r="S83" s="68"/>
      <c r="T83" s="68"/>
      <c r="U83" s="68"/>
      <c r="V83" s="68"/>
      <c r="W83" s="68"/>
      <c r="X83" s="68"/>
      <c r="Y83" s="68"/>
      <c r="Z83" s="68"/>
    </row>
    <row r="84" spans="2:26">
      <c r="B84" s="68"/>
      <c r="C84" s="68"/>
      <c r="D84" s="68"/>
      <c r="E84" s="68"/>
      <c r="F84" s="68"/>
      <c r="G84" s="68"/>
      <c r="H84" s="68"/>
      <c r="I84" s="68"/>
      <c r="J84" s="68"/>
      <c r="K84" s="68"/>
      <c r="Q84" s="68"/>
      <c r="R84" s="68"/>
      <c r="S84" s="68"/>
      <c r="T84" s="68"/>
      <c r="U84" s="68"/>
      <c r="V84" s="68"/>
      <c r="W84" s="68"/>
      <c r="X84" s="68"/>
      <c r="Y84" s="68"/>
      <c r="Z84" s="68"/>
    </row>
    <row r="85" spans="2:26">
      <c r="B85" s="68"/>
      <c r="C85" s="68"/>
      <c r="D85" s="68"/>
      <c r="E85" s="68"/>
      <c r="F85" s="68"/>
      <c r="G85" s="68"/>
      <c r="H85" s="68"/>
      <c r="I85" s="68"/>
      <c r="J85" s="68"/>
      <c r="K85" s="68"/>
      <c r="Q85" s="68"/>
      <c r="R85" s="68"/>
      <c r="S85" s="68"/>
      <c r="T85" s="68"/>
      <c r="U85" s="68"/>
      <c r="V85" s="68"/>
      <c r="W85" s="68"/>
      <c r="X85" s="68"/>
      <c r="Y85" s="68"/>
      <c r="Z85" s="68"/>
    </row>
    <row r="86" spans="2:26">
      <c r="B86" s="68"/>
      <c r="C86" s="68"/>
      <c r="D86" s="68"/>
      <c r="E86" s="68"/>
      <c r="F86" s="68"/>
      <c r="G86" s="68"/>
      <c r="H86" s="68"/>
      <c r="I86" s="68"/>
      <c r="J86" s="68"/>
      <c r="K86" s="68"/>
      <c r="Q86" s="68"/>
      <c r="R86" s="68"/>
      <c r="S86" s="68"/>
      <c r="T86" s="68"/>
      <c r="U86" s="68"/>
      <c r="V86" s="68"/>
      <c r="W86" s="68"/>
      <c r="X86" s="68"/>
      <c r="Y86" s="68"/>
      <c r="Z86" s="68"/>
    </row>
    <row r="87" spans="2:26">
      <c r="B87" s="68"/>
      <c r="C87" s="68"/>
      <c r="D87" s="68"/>
      <c r="E87" s="68"/>
      <c r="F87" s="68"/>
      <c r="G87" s="68"/>
      <c r="H87" s="68"/>
      <c r="I87" s="68"/>
      <c r="J87" s="68"/>
      <c r="K87" s="68"/>
      <c r="Q87" s="68"/>
      <c r="R87" s="68"/>
      <c r="S87" s="68"/>
      <c r="T87" s="68"/>
      <c r="U87" s="68"/>
      <c r="V87" s="68"/>
      <c r="W87" s="68"/>
      <c r="X87" s="68"/>
      <c r="Y87" s="68"/>
      <c r="Z87" s="68"/>
    </row>
    <row r="88" spans="2:26">
      <c r="B88" s="68"/>
      <c r="C88" s="68"/>
      <c r="D88" s="68"/>
      <c r="E88" s="68"/>
      <c r="F88" s="68"/>
      <c r="G88" s="68"/>
      <c r="H88" s="68"/>
      <c r="I88" s="68"/>
      <c r="J88" s="68"/>
      <c r="K88" s="68"/>
      <c r="Q88" s="68"/>
      <c r="R88" s="68"/>
      <c r="S88" s="68"/>
      <c r="T88" s="68"/>
      <c r="U88" s="68"/>
      <c r="V88" s="68"/>
      <c r="W88" s="68"/>
      <c r="X88" s="68"/>
      <c r="Y88" s="68"/>
      <c r="Z88" s="68"/>
    </row>
    <row r="89" spans="2:26">
      <c r="B89" s="68"/>
      <c r="C89" s="68"/>
      <c r="D89" s="68"/>
      <c r="E89" s="68"/>
      <c r="F89" s="68"/>
      <c r="G89" s="68"/>
      <c r="H89" s="68"/>
      <c r="I89" s="68"/>
      <c r="J89" s="68"/>
      <c r="K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spans="2:26">
      <c r="B90" s="68"/>
      <c r="C90" s="68"/>
      <c r="D90" s="68"/>
      <c r="E90" s="68"/>
      <c r="F90" s="68"/>
      <c r="G90" s="68"/>
      <c r="H90" s="68"/>
      <c r="I90" s="68"/>
      <c r="J90" s="68"/>
      <c r="K90" s="68"/>
      <c r="Q90" s="68"/>
      <c r="R90" s="68"/>
      <c r="S90" s="68"/>
      <c r="T90" s="68"/>
      <c r="U90" s="68"/>
      <c r="V90" s="68"/>
      <c r="W90" s="68"/>
      <c r="X90" s="68"/>
      <c r="Y90" s="68"/>
      <c r="Z90" s="68"/>
    </row>
    <row r="91" spans="2:26">
      <c r="B91" s="68"/>
      <c r="C91" s="68"/>
      <c r="D91" s="68"/>
      <c r="E91" s="68"/>
      <c r="F91" s="68"/>
      <c r="G91" s="68"/>
      <c r="H91" s="68"/>
      <c r="I91" s="68"/>
      <c r="J91" s="68"/>
      <c r="K91" s="68"/>
      <c r="Q91" s="68"/>
      <c r="R91" s="68"/>
      <c r="S91" s="68"/>
      <c r="T91" s="68"/>
      <c r="U91" s="68"/>
      <c r="V91" s="68"/>
      <c r="W91" s="68"/>
      <c r="X91" s="68"/>
      <c r="Y91" s="68"/>
      <c r="Z91" s="68"/>
    </row>
    <row r="92" spans="2:26">
      <c r="B92" s="68"/>
      <c r="C92" s="68"/>
      <c r="D92" s="68"/>
      <c r="E92" s="68"/>
      <c r="F92" s="68"/>
      <c r="G92" s="68"/>
      <c r="H92" s="68"/>
      <c r="I92" s="68"/>
      <c r="J92" s="68"/>
      <c r="K92" s="68"/>
      <c r="Q92" s="68"/>
      <c r="R92" s="68"/>
      <c r="S92" s="68"/>
      <c r="T92" s="68"/>
      <c r="U92" s="68"/>
      <c r="V92" s="68"/>
      <c r="W92" s="68"/>
      <c r="X92" s="68"/>
      <c r="Y92" s="68"/>
      <c r="Z92" s="68"/>
    </row>
    <row r="93" spans="2:26">
      <c r="B93" s="68"/>
      <c r="C93" s="68"/>
      <c r="D93" s="68"/>
      <c r="E93" s="68"/>
      <c r="F93" s="68"/>
      <c r="G93" s="68"/>
      <c r="H93" s="68"/>
      <c r="I93" s="68"/>
      <c r="J93" s="68"/>
      <c r="K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2:26">
      <c r="B94" s="68"/>
      <c r="C94" s="68"/>
      <c r="D94" s="68"/>
      <c r="E94" s="68"/>
      <c r="F94" s="68"/>
      <c r="G94" s="68"/>
      <c r="H94" s="68"/>
      <c r="I94" s="68"/>
      <c r="J94" s="68"/>
      <c r="K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2:26">
      <c r="B95" s="68"/>
      <c r="C95" s="68"/>
      <c r="D95" s="68"/>
      <c r="E95" s="68"/>
      <c r="F95" s="68"/>
      <c r="G95" s="68"/>
      <c r="H95" s="68"/>
      <c r="I95" s="68"/>
      <c r="J95" s="68"/>
      <c r="K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2:26">
      <c r="B96" s="68"/>
      <c r="C96" s="68"/>
      <c r="D96" s="68"/>
      <c r="E96" s="68"/>
      <c r="F96" s="68"/>
      <c r="G96" s="68"/>
      <c r="H96" s="68"/>
      <c r="I96" s="68"/>
      <c r="J96" s="68"/>
      <c r="K96" s="68"/>
      <c r="Q96" s="68"/>
      <c r="R96" s="68"/>
      <c r="S96" s="68"/>
      <c r="T96" s="68"/>
      <c r="U96" s="68"/>
      <c r="V96" s="68"/>
      <c r="W96" s="68"/>
      <c r="X96" s="68"/>
      <c r="Y96" s="68"/>
      <c r="Z96" s="68"/>
    </row>
    <row r="97" spans="2:26">
      <c r="B97" s="68"/>
      <c r="C97" s="68"/>
      <c r="D97" s="68"/>
      <c r="E97" s="68"/>
      <c r="F97" s="68"/>
      <c r="G97" s="68"/>
      <c r="H97" s="68"/>
      <c r="I97" s="68"/>
      <c r="J97" s="68"/>
      <c r="K97" s="68"/>
      <c r="Q97" s="68"/>
      <c r="R97" s="68"/>
      <c r="S97" s="68"/>
      <c r="T97" s="68"/>
      <c r="U97" s="68"/>
      <c r="V97" s="68"/>
      <c r="W97" s="68"/>
      <c r="X97" s="68"/>
      <c r="Y97" s="68"/>
      <c r="Z97" s="68"/>
    </row>
    <row r="98" spans="2:26">
      <c r="B98" s="68"/>
      <c r="C98" s="68"/>
      <c r="D98" s="68"/>
      <c r="E98" s="68"/>
      <c r="F98" s="68"/>
      <c r="G98" s="68"/>
      <c r="H98" s="68"/>
      <c r="I98" s="68"/>
      <c r="J98" s="68"/>
      <c r="K98" s="68"/>
      <c r="Q98" s="68"/>
      <c r="R98" s="68"/>
      <c r="S98" s="68"/>
      <c r="T98" s="68"/>
      <c r="U98" s="68"/>
      <c r="V98" s="68"/>
      <c r="W98" s="68"/>
      <c r="X98" s="68"/>
      <c r="Y98" s="68"/>
      <c r="Z98" s="68"/>
    </row>
    <row r="99" spans="2:26">
      <c r="B99" s="68"/>
      <c r="C99" s="68"/>
      <c r="D99" s="68"/>
      <c r="E99" s="68"/>
      <c r="F99" s="68"/>
      <c r="G99" s="68"/>
      <c r="H99" s="68"/>
      <c r="I99" s="68"/>
      <c r="J99" s="68"/>
      <c r="K99" s="68"/>
      <c r="Q99" s="68"/>
      <c r="R99" s="68"/>
      <c r="S99" s="68"/>
      <c r="T99" s="68"/>
      <c r="U99" s="68"/>
      <c r="V99" s="68"/>
      <c r="W99" s="68"/>
      <c r="X99" s="68"/>
      <c r="Y99" s="68"/>
      <c r="Z99" s="68"/>
    </row>
    <row r="100" spans="2:26"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</row>
    <row r="101" spans="2:26"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</row>
    <row r="102" spans="2:26"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</row>
    <row r="103" spans="2:26"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</row>
    <row r="104" spans="2:26"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Q104" s="68"/>
      <c r="R104" s="68"/>
      <c r="S104" s="68"/>
      <c r="T104" s="68"/>
      <c r="U104" s="68"/>
      <c r="V104" s="68"/>
      <c r="W104" s="68"/>
      <c r="X104" s="68"/>
      <c r="Y104" s="68"/>
      <c r="Z104" s="68"/>
    </row>
    <row r="105" spans="2:26"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</row>
    <row r="106" spans="2:26"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Q106" s="68"/>
      <c r="R106" s="68"/>
      <c r="S106" s="68"/>
      <c r="T106" s="68"/>
      <c r="U106" s="68"/>
      <c r="V106" s="68"/>
      <c r="W106" s="68"/>
      <c r="X106" s="68"/>
      <c r="Y106" s="68"/>
      <c r="Z106" s="68"/>
    </row>
    <row r="107" spans="2:26"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2:26"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2:26"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</row>
    <row r="110" spans="2:26"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Q110" s="68"/>
      <c r="R110" s="68"/>
      <c r="S110" s="68"/>
      <c r="T110" s="68"/>
      <c r="U110" s="68"/>
      <c r="V110" s="68"/>
      <c r="W110" s="68"/>
      <c r="X110" s="68"/>
      <c r="Y110" s="68"/>
      <c r="Z110" s="68"/>
    </row>
    <row r="111" spans="2:26"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</row>
    <row r="112" spans="2:26"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Q112" s="68"/>
      <c r="R112" s="68"/>
      <c r="S112" s="68"/>
      <c r="T112" s="68"/>
      <c r="U112" s="68"/>
      <c r="V112" s="68"/>
      <c r="W112" s="68"/>
      <c r="X112" s="68"/>
      <c r="Y112" s="68"/>
      <c r="Z112" s="68"/>
    </row>
    <row r="113" spans="2:26"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</row>
    <row r="114" spans="2:26"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</row>
    <row r="115" spans="2:26"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</row>
    <row r="116" spans="2:26"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</row>
    <row r="117" spans="2:26"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</row>
    <row r="118" spans="2:26"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</row>
    <row r="119" spans="2:26"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Q119" s="68"/>
      <c r="R119" s="68"/>
      <c r="S119" s="68"/>
      <c r="T119" s="68"/>
      <c r="U119" s="68"/>
      <c r="V119" s="68"/>
      <c r="W119" s="68"/>
      <c r="X119" s="68"/>
      <c r="Y119" s="68"/>
      <c r="Z119" s="68"/>
    </row>
    <row r="120" spans="2:26"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</row>
    <row r="121" spans="2:26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</row>
    <row r="122" spans="2:26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</row>
    <row r="123" spans="2:26"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Q123" s="68"/>
      <c r="R123" s="68"/>
      <c r="S123" s="68"/>
      <c r="T123" s="68"/>
      <c r="U123" s="68"/>
      <c r="V123" s="68"/>
      <c r="W123" s="68"/>
      <c r="X123" s="68"/>
      <c r="Y123" s="68"/>
      <c r="Z123" s="68"/>
    </row>
    <row r="124" spans="2:26"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</row>
    <row r="125" spans="2:26"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</row>
    <row r="126" spans="2:26"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Q126" s="68"/>
      <c r="R126" s="68"/>
      <c r="S126" s="68"/>
      <c r="T126" s="68"/>
      <c r="U126" s="68"/>
      <c r="V126" s="68"/>
      <c r="W126" s="68"/>
      <c r="X126" s="68"/>
      <c r="Y126" s="68"/>
      <c r="Z126" s="68"/>
    </row>
    <row r="127" spans="2:26">
      <c r="B127" s="68"/>
      <c r="J127" s="68"/>
      <c r="K127" s="68"/>
      <c r="Q127" s="68"/>
      <c r="R127" s="68"/>
      <c r="S127" s="68"/>
      <c r="T127" s="68"/>
      <c r="U127" s="68"/>
      <c r="V127" s="68"/>
      <c r="W127" s="68"/>
      <c r="X127" s="68"/>
      <c r="Y127" s="68"/>
      <c r="Z127" s="68"/>
    </row>
    <row r="128" spans="2:26">
      <c r="B128" s="68"/>
      <c r="J128" s="68"/>
      <c r="K128" s="68"/>
      <c r="Q128" s="68"/>
      <c r="R128" s="68"/>
      <c r="S128" s="68"/>
      <c r="T128" s="68"/>
      <c r="U128" s="68"/>
      <c r="V128" s="68"/>
      <c r="W128" s="68"/>
      <c r="X128" s="68"/>
      <c r="Y128" s="68"/>
      <c r="Z128" s="68"/>
    </row>
    <row r="129" spans="1:26">
      <c r="B129" s="68"/>
      <c r="J129" s="68"/>
      <c r="K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</row>
    <row r="130" spans="1:26">
      <c r="B130" s="68"/>
      <c r="J130" s="68"/>
      <c r="K130" s="68"/>
      <c r="Q130" s="68"/>
      <c r="R130" s="68"/>
      <c r="S130" s="68"/>
      <c r="T130" s="68"/>
      <c r="U130" s="68"/>
      <c r="V130" s="68"/>
      <c r="W130" s="68"/>
      <c r="X130" s="68"/>
      <c r="Y130" s="68"/>
      <c r="Z130" s="68"/>
    </row>
    <row r="131" spans="1:26">
      <c r="B131" s="68"/>
      <c r="J131" s="68"/>
      <c r="K131" s="68"/>
      <c r="Q131" s="68"/>
      <c r="R131" s="68"/>
      <c r="S131" s="68"/>
      <c r="T131" s="68"/>
      <c r="U131" s="68"/>
      <c r="V131" s="68"/>
      <c r="W131" s="68"/>
      <c r="X131" s="68"/>
      <c r="Y131" s="68"/>
      <c r="Z131" s="68"/>
    </row>
    <row r="132" spans="1:26">
      <c r="B132" s="68"/>
      <c r="J132" s="68"/>
      <c r="K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</row>
    <row r="133" spans="1:26">
      <c r="B133" s="68"/>
      <c r="J133" s="68"/>
      <c r="K133" s="68"/>
      <c r="Q133" s="68"/>
      <c r="R133" s="68"/>
      <c r="S133" s="68"/>
      <c r="T133" s="68"/>
      <c r="U133" s="68"/>
      <c r="V133" s="68"/>
      <c r="W133" s="68"/>
      <c r="X133" s="68"/>
      <c r="Y133" s="68"/>
      <c r="Z133" s="68"/>
    </row>
    <row r="134" spans="1:26">
      <c r="B134" s="68"/>
      <c r="J134" s="68"/>
      <c r="K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</row>
    <row r="135" spans="1:26" s="11" customFormat="1">
      <c r="A135"/>
      <c r="B135" s="68"/>
      <c r="H135" s="12"/>
      <c r="I135" s="12"/>
      <c r="J135" s="68"/>
      <c r="K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</row>
    <row r="136" spans="1:26" s="11" customFormat="1">
      <c r="A136"/>
      <c r="B136" s="68"/>
      <c r="H136" s="12"/>
      <c r="I136" s="12"/>
      <c r="J136" s="68"/>
      <c r="K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</row>
    <row r="137" spans="1:26" s="11" customFormat="1">
      <c r="A137"/>
      <c r="B137" s="68"/>
      <c r="H137" s="12"/>
      <c r="I137" s="12"/>
      <c r="J137" s="68"/>
      <c r="K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</row>
    <row r="138" spans="1:26" s="11" customFormat="1">
      <c r="A138"/>
      <c r="B138" s="68"/>
      <c r="H138" s="12"/>
      <c r="I138" s="12"/>
      <c r="J138" s="68"/>
      <c r="K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</row>
    <row r="139" spans="1:26" s="11" customFormat="1">
      <c r="A139"/>
      <c r="B139" s="68"/>
      <c r="H139" s="12"/>
      <c r="I139" s="12"/>
      <c r="J139" s="68"/>
      <c r="K139" s="68"/>
      <c r="Q139" s="68"/>
      <c r="R139" s="68"/>
      <c r="S139" s="68"/>
      <c r="T139" s="68"/>
      <c r="U139" s="68"/>
      <c r="V139" s="68"/>
      <c r="W139" s="68"/>
      <c r="X139" s="68"/>
      <c r="Y139" s="68"/>
      <c r="Z139" s="68"/>
    </row>
    <row r="140" spans="1:26" s="11" customFormat="1">
      <c r="A140"/>
      <c r="B140" s="68"/>
      <c r="H140" s="12"/>
      <c r="I140" s="12"/>
      <c r="J140" s="68"/>
      <c r="K140" s="68"/>
      <c r="Q140" s="68"/>
      <c r="R140" s="68"/>
      <c r="S140" s="68"/>
      <c r="T140" s="68"/>
      <c r="U140" s="68"/>
      <c r="V140" s="68"/>
      <c r="W140" s="68"/>
      <c r="X140" s="68"/>
      <c r="Y140" s="68"/>
      <c r="Z140" s="68"/>
    </row>
    <row r="141" spans="1:26" s="11" customFormat="1">
      <c r="A141"/>
      <c r="B141" s="68"/>
      <c r="H141" s="12"/>
      <c r="I141" s="12"/>
      <c r="J141" s="68"/>
      <c r="K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</row>
    <row r="142" spans="1:26" s="11" customFormat="1">
      <c r="A142"/>
      <c r="B142" s="68"/>
      <c r="H142" s="12"/>
      <c r="I142" s="12"/>
      <c r="J142" s="68"/>
      <c r="K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</row>
    <row r="143" spans="1:26" s="11" customFormat="1">
      <c r="A143"/>
      <c r="B143" s="68"/>
      <c r="H143" s="12"/>
      <c r="I143" s="12"/>
      <c r="J143" s="68"/>
      <c r="K143" s="68"/>
      <c r="Q143" s="68"/>
      <c r="R143" s="68"/>
      <c r="S143" s="68"/>
      <c r="T143" s="68"/>
      <c r="U143" s="68"/>
      <c r="V143" s="68"/>
      <c r="W143" s="68"/>
      <c r="X143" s="68"/>
      <c r="Y143" s="68"/>
      <c r="Z143" s="68"/>
    </row>
    <row r="144" spans="1:26" s="11" customFormat="1">
      <c r="A144"/>
      <c r="B144" s="68"/>
      <c r="H144" s="12"/>
      <c r="I144" s="12"/>
      <c r="J144" s="68"/>
      <c r="K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</row>
    <row r="145" spans="1:26" s="11" customFormat="1">
      <c r="A145"/>
      <c r="B145" s="68"/>
      <c r="H145" s="12"/>
      <c r="I145" s="12"/>
      <c r="J145" s="68"/>
      <c r="K145" s="68"/>
      <c r="Q145" s="68"/>
      <c r="R145" s="68"/>
      <c r="S145" s="68"/>
      <c r="T145" s="68"/>
      <c r="U145" s="68"/>
      <c r="V145" s="68"/>
      <c r="W145" s="68"/>
      <c r="X145" s="68"/>
      <c r="Y145" s="68"/>
      <c r="Z145" s="68"/>
    </row>
    <row r="146" spans="1:26" s="11" customFormat="1">
      <c r="A146"/>
      <c r="B146" s="68"/>
      <c r="H146" s="12"/>
      <c r="I146" s="12"/>
      <c r="J146" s="68"/>
      <c r="K146" s="68"/>
      <c r="Q146" s="68"/>
      <c r="R146" s="68"/>
      <c r="S146" s="68"/>
      <c r="T146" s="68"/>
      <c r="U146" s="68"/>
      <c r="V146" s="68"/>
      <c r="W146" s="68"/>
      <c r="X146" s="68"/>
      <c r="Y146" s="68"/>
      <c r="Z146" s="68"/>
    </row>
    <row r="147" spans="1:26" s="11" customFormat="1">
      <c r="A147"/>
      <c r="B147" s="68"/>
      <c r="H147" s="12"/>
      <c r="I147" s="12"/>
      <c r="J147" s="68"/>
      <c r="K147" s="68"/>
      <c r="Q147" s="68"/>
      <c r="R147" s="68"/>
      <c r="S147" s="68"/>
      <c r="T147" s="68"/>
      <c r="U147" s="68"/>
      <c r="V147" s="68"/>
      <c r="W147" s="68"/>
      <c r="X147" s="68"/>
      <c r="Y147" s="68"/>
      <c r="Z147" s="68"/>
    </row>
    <row r="148" spans="1:26" s="11" customFormat="1">
      <c r="A148"/>
      <c r="B148" s="68"/>
      <c r="H148" s="12"/>
      <c r="I148" s="12"/>
      <c r="J148" s="68"/>
      <c r="K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</row>
    <row r="149" spans="1:26" s="11" customFormat="1">
      <c r="A149"/>
      <c r="B149" s="68"/>
      <c r="H149" s="12"/>
      <c r="I149" s="12"/>
      <c r="J149" s="68"/>
      <c r="K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</row>
    <row r="150" spans="1:26" s="11" customFormat="1">
      <c r="A150"/>
      <c r="B150" s="68"/>
      <c r="H150" s="12"/>
      <c r="I150" s="12"/>
      <c r="J150" s="68"/>
      <c r="K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</row>
    <row r="151" spans="1:26" s="11" customFormat="1">
      <c r="A151"/>
      <c r="B151" s="68"/>
      <c r="H151" s="12"/>
      <c r="I151" s="12"/>
      <c r="J151" s="68"/>
      <c r="K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</row>
    <row r="152" spans="1:26" s="11" customFormat="1">
      <c r="A152"/>
      <c r="B152" s="68"/>
      <c r="H152" s="12"/>
      <c r="I152" s="12"/>
      <c r="J152" s="68"/>
      <c r="K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</row>
    <row r="153" spans="1:26" s="11" customFormat="1">
      <c r="A153"/>
      <c r="B153" s="68"/>
      <c r="H153" s="12"/>
      <c r="I153" s="12"/>
      <c r="J153" s="68"/>
      <c r="K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</row>
    <row r="154" spans="1:26" s="11" customFormat="1">
      <c r="A154"/>
      <c r="B154" s="68"/>
      <c r="H154" s="12"/>
      <c r="I154" s="12"/>
      <c r="J154" s="68"/>
      <c r="K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</row>
    <row r="155" spans="1:26" s="11" customFormat="1">
      <c r="A155"/>
      <c r="B155" s="68"/>
      <c r="H155" s="12"/>
      <c r="I155" s="12"/>
      <c r="J155" s="68"/>
      <c r="K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</row>
    <row r="156" spans="1:26" s="11" customFormat="1">
      <c r="A156"/>
      <c r="B156" s="68"/>
      <c r="H156" s="12"/>
      <c r="I156" s="12"/>
      <c r="J156" s="68"/>
      <c r="K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</row>
    <row r="157" spans="1:26" s="11" customFormat="1">
      <c r="A157"/>
      <c r="B157" s="68"/>
      <c r="H157" s="12"/>
      <c r="I157" s="12"/>
      <c r="J157" s="68"/>
      <c r="K157" s="68"/>
      <c r="Q157" s="68"/>
      <c r="R157" s="68"/>
      <c r="S157" s="68"/>
      <c r="T157" s="68"/>
      <c r="U157" s="68"/>
      <c r="V157" s="68"/>
      <c r="W157" s="68"/>
      <c r="X157" s="68"/>
      <c r="Y157" s="68"/>
      <c r="Z157" s="68"/>
    </row>
    <row r="158" spans="1:26" s="11" customFormat="1">
      <c r="A158"/>
      <c r="B158" s="68"/>
      <c r="H158" s="12"/>
      <c r="I158" s="12"/>
      <c r="J158" s="68"/>
      <c r="K158" s="68"/>
      <c r="Q158" s="68"/>
      <c r="R158" s="68"/>
      <c r="S158" s="68"/>
      <c r="T158" s="68"/>
      <c r="U158" s="68"/>
      <c r="V158" s="68"/>
      <c r="W158" s="68"/>
      <c r="X158" s="68"/>
      <c r="Y158" s="68"/>
      <c r="Z158" s="68"/>
    </row>
    <row r="159" spans="1:26" s="11" customFormat="1">
      <c r="A159"/>
      <c r="B159" s="68"/>
      <c r="H159" s="12"/>
      <c r="I159" s="12"/>
      <c r="J159" s="68"/>
      <c r="K159" s="68"/>
      <c r="Q159" s="68"/>
      <c r="R159" s="68"/>
      <c r="S159" s="68"/>
      <c r="T159" s="68"/>
      <c r="U159" s="68"/>
      <c r="V159" s="68"/>
      <c r="W159" s="68"/>
      <c r="X159" s="68"/>
      <c r="Y159" s="68"/>
      <c r="Z159" s="68"/>
    </row>
    <row r="160" spans="1:26" s="11" customFormat="1">
      <c r="A160"/>
      <c r="B160" s="68"/>
      <c r="H160" s="12"/>
      <c r="I160" s="12"/>
      <c r="J160" s="68"/>
      <c r="K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</row>
    <row r="161" spans="1:26" s="11" customFormat="1">
      <c r="A161"/>
      <c r="B161" s="68"/>
      <c r="H161" s="12"/>
      <c r="I161" s="12"/>
      <c r="J161" s="68"/>
      <c r="K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</row>
    <row r="162" spans="1:26" s="11" customFormat="1">
      <c r="A162"/>
      <c r="B162" s="68"/>
      <c r="H162" s="12"/>
      <c r="I162" s="12"/>
      <c r="J162" s="68"/>
      <c r="K162" s="68"/>
      <c r="Q162" s="68"/>
      <c r="R162" s="68"/>
      <c r="S162" s="68"/>
      <c r="T162" s="68"/>
      <c r="U162" s="68"/>
      <c r="V162" s="68"/>
      <c r="W162" s="68"/>
      <c r="X162" s="68"/>
      <c r="Y162" s="68"/>
      <c r="Z162" s="68"/>
    </row>
    <row r="163" spans="1:26" s="11" customFormat="1">
      <c r="A163"/>
      <c r="B163" s="68"/>
      <c r="H163" s="12"/>
      <c r="I163" s="12"/>
      <c r="J163" s="68"/>
      <c r="K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</row>
    <row r="164" spans="1:26" s="11" customFormat="1">
      <c r="A164"/>
      <c r="B164" s="68"/>
      <c r="H164" s="12"/>
      <c r="I164" s="12"/>
      <c r="J164" s="68"/>
      <c r="K164" s="68"/>
      <c r="Q164" s="68"/>
      <c r="R164" s="68"/>
      <c r="S164" s="68"/>
      <c r="T164" s="68"/>
      <c r="U164" s="68"/>
      <c r="V164" s="68"/>
      <c r="W164" s="68"/>
      <c r="X164" s="68"/>
      <c r="Y164" s="68"/>
      <c r="Z164" s="68"/>
    </row>
  </sheetData>
  <mergeCells count="1">
    <mergeCell ref="A1:A2"/>
  </mergeCells>
  <phoneticPr fontId="37" type="noConversion"/>
  <dataValidations count="1">
    <dataValidation type="list" allowBlank="1" showInputMessage="1" showErrorMessage="1" sqref="A7" xr:uid="{607C85A5-3C51-44E5-A0F6-45ED084FB59C}">
      <formula1>"Financial Statements,Management View"</formula1>
    </dataValidation>
  </dataValidations>
  <pageMargins left="0.51181102362204722" right="0.51181102362204722" top="0.78740157480314965" bottom="0.78740157480314965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D21"/>
  <sheetViews>
    <sheetView showGridLines="0" zoomScaleNormal="100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32.875" customWidth="1"/>
    <col min="2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16384" width="9" style="12"/>
  </cols>
  <sheetData>
    <row r="1" spans="1:30" ht="12">
      <c r="A1" s="179"/>
    </row>
    <row r="2" spans="1:30" ht="12">
      <c r="A2" s="179"/>
    </row>
    <row r="3" spans="1:30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ht="16.5" customHeight="1">
      <c r="A4" s="29" t="s">
        <v>34</v>
      </c>
      <c r="B4" s="34" t="s">
        <v>2</v>
      </c>
      <c r="C4" s="34" t="s">
        <v>3</v>
      </c>
      <c r="D4" s="34" t="s">
        <v>4</v>
      </c>
      <c r="E4" s="34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57</v>
      </c>
      <c r="S4" s="34" t="s">
        <v>58</v>
      </c>
      <c r="T4" s="34" t="s">
        <v>59</v>
      </c>
      <c r="U4" s="34" t="s">
        <v>60</v>
      </c>
      <c r="V4" s="34" t="s">
        <v>61</v>
      </c>
      <c r="W4" s="34" t="s">
        <v>62</v>
      </c>
      <c r="X4" s="34" t="s">
        <v>63</v>
      </c>
      <c r="Y4" s="34" t="s">
        <v>64</v>
      </c>
      <c r="Z4" s="34" t="s">
        <v>65</v>
      </c>
      <c r="AA4" s="34" t="s">
        <v>66</v>
      </c>
      <c r="AB4" s="34" t="s">
        <v>67</v>
      </c>
      <c r="AC4" s="34" t="s">
        <v>209</v>
      </c>
      <c r="AD4" s="34" t="s">
        <v>211</v>
      </c>
    </row>
    <row r="5" spans="1:30" ht="16.5" customHeight="1">
      <c r="A5" s="25" t="s">
        <v>35</v>
      </c>
      <c r="B5" s="12"/>
      <c r="C5" s="12"/>
      <c r="D5" s="12"/>
      <c r="E5" s="12"/>
      <c r="F5" s="12"/>
      <c r="G5" s="12"/>
      <c r="H5" s="12"/>
      <c r="I5" s="12"/>
      <c r="J5" s="12"/>
      <c r="K5" s="12"/>
      <c r="N5" s="12"/>
      <c r="O5" s="12"/>
    </row>
    <row r="6" spans="1:30" ht="6.6" customHeight="1">
      <c r="A6" s="29"/>
      <c r="B6" s="27"/>
      <c r="C6" s="27"/>
      <c r="D6" s="27"/>
      <c r="E6" s="27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0" s="13" customFormat="1">
      <c r="A7" s="97" t="s">
        <v>36</v>
      </c>
      <c r="B7" s="98">
        <v>4007.0743582983705</v>
      </c>
      <c r="C7" s="98">
        <v>3935.7438720615846</v>
      </c>
      <c r="D7" s="98">
        <v>4013.3546887429725</v>
      </c>
      <c r="E7" s="98">
        <v>3917.1425891404424</v>
      </c>
      <c r="F7" s="98">
        <v>2680.9</v>
      </c>
      <c r="G7" s="98">
        <v>176.3</v>
      </c>
      <c r="H7" s="98">
        <v>874</v>
      </c>
      <c r="I7" s="98">
        <v>1520</v>
      </c>
      <c r="J7" s="98">
        <v>1207.5999999999999</v>
      </c>
      <c r="K7" s="98">
        <v>1460.9</v>
      </c>
      <c r="L7" s="98">
        <v>2557.5</v>
      </c>
      <c r="M7" s="98">
        <v>2229.5</v>
      </c>
      <c r="N7" s="98">
        <v>2162.8000000000002</v>
      </c>
      <c r="O7" s="98">
        <v>2860.8</v>
      </c>
      <c r="P7" s="98">
        <v>2748.1</v>
      </c>
      <c r="Q7" s="98">
        <v>2502.9</v>
      </c>
      <c r="R7" s="98">
        <f>SUM(R8:R9)</f>
        <v>2963</v>
      </c>
      <c r="S7" s="98">
        <f t="shared" ref="S7:AA7" si="0">SUM(S8:S9)</f>
        <v>2739.7107907259433</v>
      </c>
      <c r="T7" s="98">
        <f t="shared" si="0"/>
        <v>2760.1155396638187</v>
      </c>
      <c r="U7" s="98">
        <f t="shared" si="0"/>
        <v>2621.9983134540885</v>
      </c>
      <c r="V7" s="98">
        <f t="shared" si="0"/>
        <v>2642.82701498489</v>
      </c>
      <c r="W7" s="98">
        <f t="shared" si="0"/>
        <v>2873.4301724309107</v>
      </c>
      <c r="X7" s="98">
        <f t="shared" si="0"/>
        <v>2908.4429091339912</v>
      </c>
      <c r="Y7" s="98">
        <f t="shared" si="0"/>
        <v>3087.3231508020717</v>
      </c>
      <c r="Z7" s="98">
        <f t="shared" si="0"/>
        <v>3048.5</v>
      </c>
      <c r="AA7" s="98">
        <f t="shared" si="0"/>
        <v>3159.1287449605657</v>
      </c>
      <c r="AB7" s="98">
        <f t="shared" ref="AB7:AC7" si="1">SUM(AB8:AB9)</f>
        <v>3329.3117670687925</v>
      </c>
      <c r="AC7" s="98">
        <f t="shared" si="1"/>
        <v>3456.3372214700007</v>
      </c>
      <c r="AD7" s="98">
        <f>SUM(AD8:AD9)</f>
        <v>3295.7413018251823</v>
      </c>
    </row>
    <row r="8" spans="1:30" s="13" customFormat="1">
      <c r="A8" s="94" t="s">
        <v>30</v>
      </c>
      <c r="B8" s="99">
        <v>2139</v>
      </c>
      <c r="C8" s="99"/>
      <c r="D8" s="99"/>
      <c r="E8" s="99"/>
      <c r="F8" s="99">
        <v>1353.8</v>
      </c>
      <c r="G8" s="99">
        <v>76.2</v>
      </c>
      <c r="H8" s="99">
        <v>452.4</v>
      </c>
      <c r="I8" s="99">
        <v>842.7</v>
      </c>
      <c r="J8" s="99">
        <v>690.6</v>
      </c>
      <c r="K8" s="99">
        <v>790.4</v>
      </c>
      <c r="L8" s="99">
        <v>1249.9000000000001</v>
      </c>
      <c r="M8" s="99">
        <v>1051</v>
      </c>
      <c r="N8" s="99">
        <v>926.7</v>
      </c>
      <c r="O8" s="99">
        <v>1243</v>
      </c>
      <c r="P8" s="99">
        <v>1222.8</v>
      </c>
      <c r="Q8" s="99">
        <v>1164.5999999999999</v>
      </c>
      <c r="R8" s="99">
        <v>1358.7</v>
      </c>
      <c r="S8" s="99">
        <v>1273.6312184521196</v>
      </c>
      <c r="T8" s="99">
        <v>1344.9617083320707</v>
      </c>
      <c r="U8" s="99">
        <v>1411.1981803000003</v>
      </c>
      <c r="V8" s="99">
        <v>1381.2628829248899</v>
      </c>
      <c r="W8" s="99">
        <v>1477.7399674809103</v>
      </c>
      <c r="X8" s="99">
        <v>1482.8900385531463</v>
      </c>
      <c r="Y8" s="99">
        <v>1672.0584483902796</v>
      </c>
      <c r="Z8" s="99">
        <v>1510.2</v>
      </c>
      <c r="AA8" s="99">
        <v>1476.2108552620496</v>
      </c>
      <c r="AB8" s="99">
        <v>1524.5306244276799</v>
      </c>
      <c r="AC8" s="99">
        <v>1701.8686641800002</v>
      </c>
      <c r="AD8" s="99">
        <v>1571.1501891751805</v>
      </c>
    </row>
    <row r="9" spans="1:30" s="13" customFormat="1">
      <c r="A9" s="95" t="s">
        <v>31</v>
      </c>
      <c r="B9" s="100">
        <v>1869.1</v>
      </c>
      <c r="C9" s="100"/>
      <c r="D9" s="100"/>
      <c r="E9" s="100"/>
      <c r="F9" s="100">
        <v>1327.1</v>
      </c>
      <c r="G9" s="100">
        <v>100.1</v>
      </c>
      <c r="H9" s="100">
        <v>421.6</v>
      </c>
      <c r="I9" s="100">
        <v>677.3</v>
      </c>
      <c r="J9" s="100">
        <v>517</v>
      </c>
      <c r="K9" s="100">
        <v>670.5</v>
      </c>
      <c r="L9" s="100">
        <v>1307.5999999999999</v>
      </c>
      <c r="M9" s="100">
        <v>1178.5</v>
      </c>
      <c r="N9" s="100">
        <v>1236.0999999999999</v>
      </c>
      <c r="O9" s="100">
        <v>1617.8</v>
      </c>
      <c r="P9" s="100">
        <v>1525.2</v>
      </c>
      <c r="Q9" s="100">
        <v>1338.2</v>
      </c>
      <c r="R9" s="100">
        <v>1604.3</v>
      </c>
      <c r="S9" s="100">
        <v>1466.0795722738239</v>
      </c>
      <c r="T9" s="100">
        <v>1415.1538313317481</v>
      </c>
      <c r="U9" s="100">
        <v>1210.8001331540881</v>
      </c>
      <c r="V9" s="100">
        <v>1261.56413206</v>
      </c>
      <c r="W9" s="100">
        <v>1395.6902049500002</v>
      </c>
      <c r="X9" s="100">
        <v>1425.5528705808449</v>
      </c>
      <c r="Y9" s="100">
        <v>1415.2647024117923</v>
      </c>
      <c r="Z9" s="100">
        <v>1538.3</v>
      </c>
      <c r="AA9" s="100">
        <v>1682.9178896985161</v>
      </c>
      <c r="AB9" s="100">
        <v>1804.7811426411126</v>
      </c>
      <c r="AC9" s="100">
        <v>1754.4685572900005</v>
      </c>
      <c r="AD9" s="100">
        <v>1724.5911126500018</v>
      </c>
    </row>
    <row r="10" spans="1:30">
      <c r="A10" s="97" t="s">
        <v>37</v>
      </c>
      <c r="B10" s="98">
        <v>4173.7535554681772</v>
      </c>
      <c r="C10" s="98">
        <v>3581.3980581922278</v>
      </c>
      <c r="D10" s="98">
        <v>4027.3</v>
      </c>
      <c r="E10" s="98">
        <v>4120</v>
      </c>
      <c r="F10" s="98">
        <v>3382.3</v>
      </c>
      <c r="G10" s="98">
        <v>186.2</v>
      </c>
      <c r="H10" s="98">
        <v>570.29999999999995</v>
      </c>
      <c r="I10" s="98">
        <v>1511.5</v>
      </c>
      <c r="J10" s="98">
        <v>1255.4000000000001</v>
      </c>
      <c r="K10" s="98">
        <v>1182.4000000000001</v>
      </c>
      <c r="L10" s="98">
        <v>2237</v>
      </c>
      <c r="M10" s="98">
        <v>2630</v>
      </c>
      <c r="N10" s="98">
        <v>2363.1999999999998</v>
      </c>
      <c r="O10" s="98">
        <v>2643.6</v>
      </c>
      <c r="P10" s="98">
        <v>3013</v>
      </c>
      <c r="Q10" s="98">
        <v>2741</v>
      </c>
      <c r="R10" s="98">
        <f>SUM(R11:R12)</f>
        <v>2847.7</v>
      </c>
      <c r="S10" s="98">
        <f t="shared" ref="S10" si="2">SUM(S11:S12)</f>
        <v>2537.404471072633</v>
      </c>
      <c r="T10" s="98">
        <f t="shared" ref="T10" si="3">SUM(T11:T12)</f>
        <v>2926.3033522118076</v>
      </c>
      <c r="U10" s="98">
        <f t="shared" ref="U10" si="4">SUM(U11:U12)</f>
        <v>2687.8209810633452</v>
      </c>
      <c r="V10" s="98">
        <f t="shared" ref="V10" si="5">SUM(V11:V12)</f>
        <v>2631.2506121200013</v>
      </c>
      <c r="W10" s="98">
        <f t="shared" ref="W10" si="6">SUM(W11:W12)</f>
        <v>2579.0344329099999</v>
      </c>
      <c r="X10" s="98">
        <f t="shared" ref="X10" si="7">SUM(X11:X12)</f>
        <v>3100.2238924006697</v>
      </c>
      <c r="Y10" s="98">
        <f t="shared" ref="Y10" si="8">SUM(Y11:Y12)</f>
        <v>3079.0493515101907</v>
      </c>
      <c r="Z10" s="98">
        <f t="shared" ref="Z10" si="9">SUM(Z11:Z12)</f>
        <v>3011.4</v>
      </c>
      <c r="AA10" s="98">
        <f t="shared" ref="AA10:AB10" si="10">SUM(AA11:AA12)</f>
        <v>2915.736182110003</v>
      </c>
      <c r="AB10" s="98">
        <f t="shared" si="10"/>
        <v>3482.0564507600052</v>
      </c>
      <c r="AC10" s="98">
        <f t="shared" ref="AC10:AD10" si="11">SUM(AC11:AC12)</f>
        <v>3433.5139595646024</v>
      </c>
      <c r="AD10" s="98">
        <f t="shared" si="11"/>
        <v>3348.3163944100015</v>
      </c>
    </row>
    <row r="11" spans="1:30">
      <c r="A11" s="94" t="s">
        <v>30</v>
      </c>
      <c r="B11" s="99">
        <v>2319.2158428785574</v>
      </c>
      <c r="C11" s="99">
        <v>1552.0193209530587</v>
      </c>
      <c r="D11" s="99">
        <v>1964.3684516180583</v>
      </c>
      <c r="E11" s="99">
        <v>2182.1743324288095</v>
      </c>
      <c r="F11" s="99">
        <v>1978.9</v>
      </c>
      <c r="G11" s="99">
        <v>33</v>
      </c>
      <c r="H11" s="99">
        <v>181.3</v>
      </c>
      <c r="I11" s="99">
        <v>781.3</v>
      </c>
      <c r="J11" s="99">
        <v>690</v>
      </c>
      <c r="K11" s="99">
        <v>523.4</v>
      </c>
      <c r="L11" s="99">
        <v>956.9</v>
      </c>
      <c r="M11" s="99">
        <v>1393.6</v>
      </c>
      <c r="N11" s="99">
        <v>1148.0999999999999</v>
      </c>
      <c r="O11" s="99">
        <v>1052.8</v>
      </c>
      <c r="P11" s="99">
        <v>1472.3</v>
      </c>
      <c r="Q11" s="99">
        <v>1322.3</v>
      </c>
      <c r="R11" s="99">
        <v>1279.5</v>
      </c>
      <c r="S11" s="99">
        <v>1098.5420519265294</v>
      </c>
      <c r="T11" s="99">
        <v>1489.17362897314</v>
      </c>
      <c r="U11" s="99">
        <v>1407.8419024300001</v>
      </c>
      <c r="V11" s="99">
        <v>1332.5652543300002</v>
      </c>
      <c r="W11" s="99">
        <v>1159.59284284</v>
      </c>
      <c r="X11" s="99">
        <v>1643.29443044</v>
      </c>
      <c r="Y11" s="99">
        <v>1629.5228029187999</v>
      </c>
      <c r="Z11" s="99">
        <v>1468.2</v>
      </c>
      <c r="AA11" s="99">
        <v>1244.2785545100003</v>
      </c>
      <c r="AB11" s="99">
        <v>1692.2023980700001</v>
      </c>
      <c r="AC11" s="99">
        <v>1664.9940045145997</v>
      </c>
      <c r="AD11" s="99">
        <v>1592.3510755399993</v>
      </c>
    </row>
    <row r="12" spans="1:30">
      <c r="A12" s="95" t="s">
        <v>31</v>
      </c>
      <c r="B12" s="100">
        <v>1854.53771258962</v>
      </c>
      <c r="C12" s="100">
        <v>2029.3787372391689</v>
      </c>
      <c r="D12" s="100">
        <v>2062.9315483819419</v>
      </c>
      <c r="E12" s="100">
        <v>1937.8256675711907</v>
      </c>
      <c r="F12" s="100">
        <v>1403.4</v>
      </c>
      <c r="G12" s="100">
        <v>153.19999999999999</v>
      </c>
      <c r="H12" s="100">
        <v>388.9</v>
      </c>
      <c r="I12" s="100">
        <v>730.3</v>
      </c>
      <c r="J12" s="100">
        <v>565.4</v>
      </c>
      <c r="K12" s="100">
        <v>659</v>
      </c>
      <c r="L12" s="100">
        <v>1280.0999999999999</v>
      </c>
      <c r="M12" s="100">
        <v>1236.4000000000001</v>
      </c>
      <c r="N12" s="100">
        <v>1215.0999999999999</v>
      </c>
      <c r="O12" s="100">
        <v>1590.8</v>
      </c>
      <c r="P12" s="100">
        <v>1540.8</v>
      </c>
      <c r="Q12" s="100">
        <v>1418.7</v>
      </c>
      <c r="R12" s="100">
        <v>1568.2</v>
      </c>
      <c r="S12" s="100">
        <v>1438.8624191461038</v>
      </c>
      <c r="T12" s="100">
        <v>1437.1297232386676</v>
      </c>
      <c r="U12" s="100">
        <v>1279.9790786333449</v>
      </c>
      <c r="V12" s="100">
        <v>1298.6853577900008</v>
      </c>
      <c r="W12" s="100">
        <v>1419.4415900700001</v>
      </c>
      <c r="X12" s="100">
        <v>1456.9294619606699</v>
      </c>
      <c r="Y12" s="100">
        <v>1449.5265485913908</v>
      </c>
      <c r="Z12" s="100">
        <v>1543.2</v>
      </c>
      <c r="AA12" s="100">
        <v>1671.4576276000028</v>
      </c>
      <c r="AB12" s="100">
        <v>1789.8540526900051</v>
      </c>
      <c r="AC12" s="100">
        <v>1768.5199550500024</v>
      </c>
      <c r="AD12" s="100">
        <v>1755.965318870002</v>
      </c>
    </row>
    <row r="13" spans="1:30">
      <c r="A13" s="97" t="s">
        <v>185</v>
      </c>
      <c r="B13" s="101"/>
      <c r="C13" s="101"/>
      <c r="D13" s="101"/>
      <c r="E13" s="101"/>
      <c r="F13" s="101">
        <v>2746</v>
      </c>
      <c r="G13" s="101">
        <v>322</v>
      </c>
      <c r="H13" s="101">
        <v>845</v>
      </c>
      <c r="I13" s="101">
        <v>2029</v>
      </c>
      <c r="J13" s="101">
        <v>1627</v>
      </c>
      <c r="K13" s="101">
        <v>1487</v>
      </c>
      <c r="L13" s="101">
        <v>2454</v>
      </c>
      <c r="M13" s="101">
        <v>2163</v>
      </c>
      <c r="N13" s="101">
        <v>1874</v>
      </c>
      <c r="O13" s="101">
        <v>1693</v>
      </c>
      <c r="P13" s="101">
        <v>1771</v>
      </c>
      <c r="Q13" s="101">
        <v>1598</v>
      </c>
      <c r="R13" s="101">
        <v>1587</v>
      </c>
      <c r="S13" s="101">
        <v>1461.758</v>
      </c>
      <c r="T13" s="101">
        <v>1576.7159999999999</v>
      </c>
      <c r="U13" s="101">
        <v>1452.577</v>
      </c>
      <c r="V13" s="101">
        <v>1432</v>
      </c>
      <c r="W13" s="101">
        <v>1385.6089999999999</v>
      </c>
      <c r="X13" s="101">
        <v>1554.701</v>
      </c>
      <c r="Y13" s="101">
        <v>1601.0429999999999</v>
      </c>
      <c r="Z13" s="101">
        <v>1615.625</v>
      </c>
      <c r="AA13" s="101">
        <v>1516.6030000000001</v>
      </c>
      <c r="AB13" s="101">
        <v>1663.3720000000001</v>
      </c>
      <c r="AC13" s="101">
        <v>1589.864</v>
      </c>
      <c r="AD13" s="101">
        <v>1658.29888268376</v>
      </c>
    </row>
    <row r="14" spans="1:30" s="117" customFormat="1">
      <c r="A14" s="114" t="s">
        <v>186</v>
      </c>
      <c r="B14" s="135"/>
      <c r="C14" s="135"/>
      <c r="D14" s="135"/>
      <c r="E14" s="135"/>
      <c r="F14" s="135">
        <v>1232</v>
      </c>
      <c r="G14" s="135">
        <v>578</v>
      </c>
      <c r="H14" s="135">
        <v>675</v>
      </c>
      <c r="I14" s="135">
        <v>745</v>
      </c>
      <c r="J14" s="135">
        <v>772</v>
      </c>
      <c r="K14" s="135">
        <v>795</v>
      </c>
      <c r="L14" s="135">
        <v>912</v>
      </c>
      <c r="M14" s="135">
        <v>1216</v>
      </c>
      <c r="N14" s="135">
        <v>1261</v>
      </c>
      <c r="O14" s="135">
        <v>1562</v>
      </c>
      <c r="P14" s="135">
        <v>1701</v>
      </c>
      <c r="Q14" s="135">
        <v>1715</v>
      </c>
      <c r="R14" s="135">
        <v>1794</v>
      </c>
      <c r="S14" s="135">
        <v>1735.8581044691616</v>
      </c>
      <c r="T14" s="135">
        <v>1855.9482825136597</v>
      </c>
      <c r="U14" s="135">
        <v>1850.489679984986</v>
      </c>
      <c r="V14" s="135">
        <f t="shared" ref="V14:AC14" si="12">V7*1000/V13</f>
        <v>1845.5495914698952</v>
      </c>
      <c r="W14" s="135">
        <f t="shared" si="12"/>
        <v>2073.7669663165516</v>
      </c>
      <c r="X14" s="135">
        <f t="shared" si="12"/>
        <v>1870.7410036617916</v>
      </c>
      <c r="Y14" s="135">
        <f t="shared" si="12"/>
        <v>1928.3199456867003</v>
      </c>
      <c r="Z14" s="135">
        <f t="shared" si="12"/>
        <v>1886.8858800773694</v>
      </c>
      <c r="AA14" s="135">
        <f t="shared" si="12"/>
        <v>2083.0294711012475</v>
      </c>
      <c r="AB14" s="135">
        <f t="shared" si="12"/>
        <v>2001.5437118508623</v>
      </c>
      <c r="AC14" s="135">
        <f t="shared" si="12"/>
        <v>2173.9829453777184</v>
      </c>
      <c r="AD14" s="135">
        <v>1987.4229767865586</v>
      </c>
    </row>
    <row r="15" spans="1:30">
      <c r="A15" s="97" t="s">
        <v>18</v>
      </c>
      <c r="B15" s="105">
        <v>9.2792532450383297E-2</v>
      </c>
      <c r="C15" s="105">
        <v>0.12276339015078397</v>
      </c>
      <c r="D15" s="105">
        <v>9.9206429092015366E-2</v>
      </c>
      <c r="E15" s="105">
        <v>5.6400062006915795E-2</v>
      </c>
      <c r="F15" s="105">
        <v>7.0999999999999994E-2</v>
      </c>
      <c r="G15" s="105">
        <v>2.4E-2</v>
      </c>
      <c r="H15" s="105">
        <v>0.1</v>
      </c>
      <c r="I15" s="105">
        <v>9.4E-2</v>
      </c>
      <c r="J15" s="105">
        <v>0.11899999999999999</v>
      </c>
      <c r="K15" s="105">
        <v>7.5999999999999998E-2</v>
      </c>
      <c r="L15" s="105">
        <v>9.1999999999999998E-2</v>
      </c>
      <c r="M15" s="105">
        <v>0.1</v>
      </c>
      <c r="N15" s="105">
        <v>0.10199999999999999</v>
      </c>
      <c r="O15" s="105">
        <v>0.08</v>
      </c>
      <c r="P15" s="105">
        <v>8.4000000000000005E-2</v>
      </c>
      <c r="Q15" s="105">
        <v>9.2999999999999999E-2</v>
      </c>
      <c r="R15" s="105">
        <v>7.8E-2</v>
      </c>
      <c r="S15" s="105">
        <v>7.9044331532199794E-2</v>
      </c>
      <c r="T15" s="105">
        <v>0.10456507254967082</v>
      </c>
      <c r="U15" s="105">
        <v>0.10054982433233844</v>
      </c>
      <c r="V15" s="105">
        <v>9.7832505922656327E-2</v>
      </c>
      <c r="W15" s="105">
        <v>9.4093653978400638E-2</v>
      </c>
      <c r="X15" s="105">
        <v>9.9805723072259114E-2</v>
      </c>
      <c r="Y15" s="105">
        <v>0.10052050081302964</v>
      </c>
      <c r="Z15" s="105">
        <v>9.2999999999999999E-2</v>
      </c>
      <c r="AA15" s="105">
        <v>9.6524543645081493E-2</v>
      </c>
      <c r="AB15" s="105">
        <v>9.1548206967840176E-2</v>
      </c>
      <c r="AC15" s="105">
        <v>9.2124213373856692E-2</v>
      </c>
      <c r="AD15" s="105">
        <v>8.9069052783021449E-2</v>
      </c>
    </row>
    <row r="16" spans="1:30">
      <c r="A16" s="94" t="s">
        <v>30</v>
      </c>
      <c r="B16" s="102">
        <v>0.10921795001435049</v>
      </c>
      <c r="C16" s="102">
        <v>0.21464321412346996</v>
      </c>
      <c r="D16" s="102">
        <v>0.13118153103339514</v>
      </c>
      <c r="E16" s="102">
        <v>5.747786218037159E-2</v>
      </c>
      <c r="F16" s="102">
        <v>7.9000000000000001E-2</v>
      </c>
      <c r="G16" s="102">
        <v>8.2000000000000003E-2</v>
      </c>
      <c r="H16" s="102">
        <v>0.11799999999999999</v>
      </c>
      <c r="I16" s="102">
        <v>0.122</v>
      </c>
      <c r="J16" s="102">
        <v>0.14899999999999999</v>
      </c>
      <c r="K16" s="102">
        <v>7.2999999999999995E-2</v>
      </c>
      <c r="L16" s="102">
        <v>0.13200000000000001</v>
      </c>
      <c r="M16" s="102">
        <v>0.13200000000000001</v>
      </c>
      <c r="N16" s="102">
        <v>0.15</v>
      </c>
      <c r="O16" s="102">
        <v>0.129</v>
      </c>
      <c r="P16" s="102">
        <v>0.111</v>
      </c>
      <c r="Q16" s="102">
        <v>0.126</v>
      </c>
      <c r="R16" s="102">
        <v>0.114</v>
      </c>
      <c r="S16" s="102">
        <v>0.11465559172636371</v>
      </c>
      <c r="T16" s="102">
        <v>0.14658213193746866</v>
      </c>
      <c r="U16" s="102">
        <v>0.13182636183769103</v>
      </c>
      <c r="V16" s="102">
        <v>0.13014844270211703</v>
      </c>
      <c r="W16" s="102">
        <v>0.12896212759794826</v>
      </c>
      <c r="X16" s="102">
        <v>0.13229562465138706</v>
      </c>
      <c r="Y16" s="102">
        <v>0.12864454321487415</v>
      </c>
      <c r="Z16" s="102">
        <v>0.126</v>
      </c>
      <c r="AA16" s="102">
        <v>0.13779618830674242</v>
      </c>
      <c r="AB16" s="102">
        <v>0.12037328348093669</v>
      </c>
      <c r="AC16" s="102">
        <v>0.11763041818134642</v>
      </c>
      <c r="AD16" s="102">
        <v>0.11406154568546177</v>
      </c>
    </row>
    <row r="17" spans="1:30">
      <c r="A17" s="95" t="s">
        <v>31</v>
      </c>
      <c r="B17" s="103">
        <v>7.2255203596203216E-2</v>
      </c>
      <c r="C17" s="103">
        <v>6.3932807790491694E-2</v>
      </c>
      <c r="D17" s="103">
        <v>6.8771157722898144E-2</v>
      </c>
      <c r="E17" s="103">
        <v>5.7376941020397719E-2</v>
      </c>
      <c r="F17" s="103">
        <v>0.06</v>
      </c>
      <c r="G17" s="103">
        <v>1.0999999999999999E-2</v>
      </c>
      <c r="H17" s="103">
        <v>9.0999999999999998E-2</v>
      </c>
      <c r="I17" s="103">
        <v>6.4000000000000001E-2</v>
      </c>
      <c r="J17" s="103">
        <v>8.3000000000000004E-2</v>
      </c>
      <c r="K17" s="103">
        <v>7.9000000000000001E-2</v>
      </c>
      <c r="L17" s="103">
        <v>6.0999999999999999E-2</v>
      </c>
      <c r="M17" s="103">
        <v>6.3E-2</v>
      </c>
      <c r="N17" s="103">
        <v>5.7000000000000002E-2</v>
      </c>
      <c r="O17" s="103">
        <v>4.8000000000000001E-2</v>
      </c>
      <c r="P17" s="103">
        <v>5.8000000000000003E-2</v>
      </c>
      <c r="Q17" s="103">
        <v>6.2E-2</v>
      </c>
      <c r="R17" s="103">
        <v>4.8000000000000001E-2</v>
      </c>
      <c r="S17" s="103">
        <v>5.1855862138022041E-2</v>
      </c>
      <c r="T17" s="103">
        <v>6.1026416438446834E-2</v>
      </c>
      <c r="U17" s="103">
        <v>6.6148933881868766E-2</v>
      </c>
      <c r="V17" s="103">
        <v>6.4673516137235487E-2</v>
      </c>
      <c r="W17" s="103">
        <v>6.5608344873156768E-2</v>
      </c>
      <c r="X17" s="103">
        <v>6.315983478150157E-2</v>
      </c>
      <c r="Y17" s="103">
        <v>6.890413031702447E-2</v>
      </c>
      <c r="Z17" s="103">
        <v>6.2E-2</v>
      </c>
      <c r="AA17" s="103">
        <v>6.5800807958406246E-2</v>
      </c>
      <c r="AB17" s="103">
        <v>6.4295781818033151E-2</v>
      </c>
      <c r="AC17" s="103">
        <v>6.8111095534204663E-2</v>
      </c>
      <c r="AD17" s="103">
        <v>6.6405266359701537E-2</v>
      </c>
    </row>
    <row r="18" spans="1:30" ht="16.5">
      <c r="A18" s="111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1:30">
      <c r="AD19" s="173"/>
    </row>
    <row r="21" spans="1:30" ht="4.5" customHeight="1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</sheetData>
  <mergeCells count="1">
    <mergeCell ref="A1:A2"/>
  </mergeCells>
  <phoneticPr fontId="37" type="noConversion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AF86"/>
  <sheetViews>
    <sheetView showGridLines="0" zoomScaleNormal="100" zoomScaleSheetLayoutView="100" workbookViewId="0">
      <pane xSplit="1" ySplit="5" topLeftCell="R6" activePane="bottomRight" state="frozen"/>
      <selection pane="topRight" activeCell="B1" sqref="B1"/>
      <selection pane="bottomLeft" activeCell="A6" sqref="A6"/>
      <selection pane="bottomRight" activeCell="R6" sqref="R6"/>
    </sheetView>
  </sheetViews>
  <sheetFormatPr defaultColWidth="9" defaultRowHeight="14.25"/>
  <cols>
    <col min="1" max="1" width="53.125" customWidth="1"/>
    <col min="2" max="5" width="10.375" hidden="1" customWidth="1"/>
    <col min="6" max="11" width="9.375" style="11" hidden="1" customWidth="1"/>
    <col min="12" max="12" width="9.375" style="12" hidden="1" customWidth="1"/>
    <col min="13" max="13" width="9" style="12" hidden="1" customWidth="1"/>
    <col min="14" max="15" width="9.375" style="11" hidden="1" customWidth="1"/>
    <col min="16" max="17" width="9" style="12" hidden="1" customWidth="1"/>
    <col min="18" max="21" width="9" style="12"/>
    <col min="22" max="22" width="9" style="12" customWidth="1"/>
    <col min="23" max="24" width="9" style="12"/>
    <col min="25" max="30" width="9.75" style="12" bestFit="1" customWidth="1"/>
    <col min="31" max="16384" width="9" style="12"/>
  </cols>
  <sheetData>
    <row r="1" spans="1:32" ht="17.25">
      <c r="A1" s="179"/>
      <c r="B1" s="159"/>
      <c r="C1" s="159"/>
      <c r="D1" s="159"/>
      <c r="E1" s="159"/>
    </row>
    <row r="2" spans="1:32" ht="17.25">
      <c r="A2" s="179"/>
      <c r="B2" s="159"/>
      <c r="C2" s="159"/>
      <c r="D2" s="159"/>
      <c r="E2" s="159"/>
    </row>
    <row r="3" spans="1:32" ht="4.5" customHeight="1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2" ht="16.5" customHeight="1">
      <c r="A4" s="29" t="s">
        <v>191</v>
      </c>
      <c r="B4" s="35" t="s">
        <v>2</v>
      </c>
      <c r="C4" s="35" t="s">
        <v>3</v>
      </c>
      <c r="D4" s="35" t="s">
        <v>4</v>
      </c>
      <c r="E4" s="35" t="s">
        <v>5</v>
      </c>
      <c r="F4" s="34" t="s">
        <v>6</v>
      </c>
      <c r="G4" s="34" t="s">
        <v>7</v>
      </c>
      <c r="H4" s="34" t="s">
        <v>8</v>
      </c>
      <c r="I4" s="34" t="s">
        <v>9</v>
      </c>
      <c r="J4" s="35" t="s">
        <v>10</v>
      </c>
      <c r="K4" s="35" t="s">
        <v>11</v>
      </c>
      <c r="L4" s="35" t="s">
        <v>12</v>
      </c>
      <c r="M4" s="35" t="s">
        <v>13</v>
      </c>
      <c r="N4" s="34" t="s">
        <v>14</v>
      </c>
      <c r="O4" s="34" t="s">
        <v>15</v>
      </c>
      <c r="P4" s="34" t="s">
        <v>16</v>
      </c>
      <c r="Q4" s="34" t="s">
        <v>17</v>
      </c>
      <c r="R4" s="34" t="s">
        <v>57</v>
      </c>
      <c r="S4" s="34" t="s">
        <v>58</v>
      </c>
      <c r="T4" s="34" t="s">
        <v>59</v>
      </c>
      <c r="U4" s="34" t="s">
        <v>60</v>
      </c>
      <c r="V4" s="34" t="s">
        <v>61</v>
      </c>
      <c r="W4" s="34" t="s">
        <v>62</v>
      </c>
      <c r="X4" s="34" t="s">
        <v>63</v>
      </c>
      <c r="Y4" s="34" t="s">
        <v>64</v>
      </c>
      <c r="Z4" s="34" t="s">
        <v>65</v>
      </c>
      <c r="AA4" s="34" t="s">
        <v>66</v>
      </c>
      <c r="AB4" s="34" t="s">
        <v>67</v>
      </c>
      <c r="AC4" s="34" t="s">
        <v>210</v>
      </c>
      <c r="AD4" s="34" t="s">
        <v>211</v>
      </c>
    </row>
    <row r="5" spans="1:32" ht="16.5" customHeight="1">
      <c r="A5" s="25" t="s">
        <v>35</v>
      </c>
      <c r="B5" s="26"/>
      <c r="C5" s="26"/>
      <c r="D5" s="26"/>
      <c r="E5" s="26"/>
      <c r="F5" s="12"/>
      <c r="G5" s="12"/>
      <c r="H5" s="12"/>
      <c r="I5" s="12"/>
      <c r="J5" s="12"/>
      <c r="K5" s="12"/>
      <c r="N5" s="12"/>
      <c r="O5" s="12"/>
    </row>
    <row r="6" spans="1:32" ht="6.6" customHeight="1" thickBot="1">
      <c r="A6" s="29"/>
      <c r="B6" s="29"/>
      <c r="C6" s="29"/>
      <c r="D6" s="29"/>
      <c r="E6" s="29"/>
      <c r="F6" s="27"/>
      <c r="G6" s="27"/>
      <c r="H6" s="27"/>
      <c r="I6" s="27"/>
      <c r="J6" s="28"/>
      <c r="K6" s="28"/>
      <c r="L6" s="28"/>
      <c r="M6" s="28"/>
      <c r="N6" s="27"/>
      <c r="O6" s="27"/>
    </row>
    <row r="7" spans="1:32" s="13" customFormat="1" ht="15" thickBot="1">
      <c r="A7" s="14" t="s">
        <v>73</v>
      </c>
      <c r="B7" s="20">
        <v>467.29399999999998</v>
      </c>
      <c r="C7" s="20">
        <v>437.33299999999997</v>
      </c>
      <c r="D7" s="20"/>
      <c r="E7" s="20">
        <v>232.36825546849309</v>
      </c>
      <c r="F7" s="20">
        <v>239.8</v>
      </c>
      <c r="G7" s="20">
        <v>4.4000000000000004</v>
      </c>
      <c r="H7" s="20">
        <v>56.9</v>
      </c>
      <c r="I7" s="20">
        <v>141.6</v>
      </c>
      <c r="J7" s="20">
        <v>149.69999999999999</v>
      </c>
      <c r="K7" s="20">
        <v>90.2</v>
      </c>
      <c r="L7" s="20">
        <v>204.7</v>
      </c>
      <c r="M7" s="20">
        <v>262.10000000000002</v>
      </c>
      <c r="N7" s="20">
        <v>240.8</v>
      </c>
      <c r="O7" s="20">
        <v>211.3</v>
      </c>
      <c r="P7" s="20">
        <v>252.6</v>
      </c>
      <c r="Q7" s="20">
        <v>255.7</v>
      </c>
      <c r="R7" s="20">
        <v>221.3</v>
      </c>
      <c r="S7" s="20">
        <v>200.56800000000001</v>
      </c>
      <c r="T7" s="20">
        <v>305.98922447098698</v>
      </c>
      <c r="U7" s="20">
        <v>270.3</v>
      </c>
      <c r="V7" s="20">
        <v>257.42184384328465</v>
      </c>
      <c r="W7" s="20">
        <f>242670773.528615*10^-6</f>
        <v>242.67077352861497</v>
      </c>
      <c r="X7" s="20">
        <v>309.42008726694257</v>
      </c>
      <c r="Y7" s="20">
        <v>309.50758284183598</v>
      </c>
      <c r="Z7" s="20">
        <v>281.19900000000001</v>
      </c>
      <c r="AA7" s="20">
        <v>281.44072406186723</v>
      </c>
      <c r="AB7" s="20">
        <v>318.77602462787996</v>
      </c>
      <c r="AC7" s="20">
        <v>316.30977263304499</v>
      </c>
      <c r="AD7" s="20">
        <v>298.23136966796051</v>
      </c>
      <c r="AE7" s="12"/>
      <c r="AF7" s="12"/>
    </row>
    <row r="8" spans="1:32" s="117" customFormat="1" ht="5.0999999999999996" customHeight="1">
      <c r="A8" s="153"/>
      <c r="B8" s="154">
        <v>369.31599999999997</v>
      </c>
      <c r="C8" s="154">
        <v>437.33300000000003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V8" s="154"/>
      <c r="W8" s="154"/>
      <c r="X8" s="154"/>
      <c r="Y8" s="154"/>
      <c r="Z8" s="154"/>
      <c r="AA8" s="154"/>
      <c r="AB8" s="154"/>
      <c r="AC8" s="154"/>
      <c r="AD8" s="154"/>
      <c r="AE8" s="12"/>
      <c r="AF8" s="12"/>
    </row>
    <row r="9" spans="1:32" s="13" customFormat="1">
      <c r="A9" s="163" t="s">
        <v>74</v>
      </c>
      <c r="B9" s="163"/>
      <c r="C9" s="154"/>
      <c r="D9" s="163"/>
      <c r="E9" s="163"/>
      <c r="F9" s="164"/>
      <c r="G9" s="164"/>
      <c r="H9" s="164"/>
      <c r="I9" s="164"/>
      <c r="J9" s="164"/>
      <c r="K9" s="164"/>
      <c r="L9" s="164"/>
      <c r="M9" s="164"/>
      <c r="N9" s="164">
        <f>SUM(N10:N11,N14:N15)</f>
        <v>-241.2</v>
      </c>
      <c r="O9" s="164">
        <f t="shared" ref="O9:AA9" si="0">SUM(O10:O11,O14:O15)</f>
        <v>-260.70000000000005</v>
      </c>
      <c r="P9" s="164">
        <f t="shared" si="0"/>
        <v>-282.5</v>
      </c>
      <c r="Q9" s="164">
        <f t="shared" si="0"/>
        <v>-235.90000000000003</v>
      </c>
      <c r="R9" s="164">
        <f t="shared" si="0"/>
        <v>-271.89999999999998</v>
      </c>
      <c r="S9" s="164">
        <f t="shared" si="0"/>
        <v>-263.21850000000001</v>
      </c>
      <c r="T9" s="164">
        <f t="shared" si="0"/>
        <v>-346.43470805777997</v>
      </c>
      <c r="U9" s="164">
        <f t="shared" si="0"/>
        <v>-258.36811911045436</v>
      </c>
      <c r="V9" s="164">
        <f t="shared" si="0"/>
        <v>-237.37024054033205</v>
      </c>
      <c r="W9" s="164">
        <f t="shared" si="0"/>
        <v>-236.11817221808579</v>
      </c>
      <c r="X9" s="164">
        <f t="shared" si="0"/>
        <v>-244.49842231954338</v>
      </c>
      <c r="Y9" s="164">
        <f t="shared" si="0"/>
        <v>-278.50429673300454</v>
      </c>
      <c r="Z9" s="164">
        <f t="shared" si="0"/>
        <v>-250.07300000000001</v>
      </c>
      <c r="AA9" s="164">
        <f t="shared" si="0"/>
        <v>-237.67800000000003</v>
      </c>
      <c r="AB9" s="164">
        <f t="shared" ref="AB9" si="1">SUM(AB10:AB11,AB14:AB15)</f>
        <v>-232.515221475206</v>
      </c>
      <c r="AC9" s="164">
        <f>SUM(AC10:AC11,AC14:AC15)</f>
        <v>-272.13236068824</v>
      </c>
      <c r="AD9" s="164">
        <f>SUM(AD10:AD11,AD14:AD15)</f>
        <v>-281.90592712591246</v>
      </c>
      <c r="AE9" s="12"/>
      <c r="AF9" s="12"/>
    </row>
    <row r="10" spans="1:32" s="13" customFormat="1" ht="15" thickBot="1">
      <c r="A10" s="160" t="s">
        <v>39</v>
      </c>
      <c r="B10" s="21">
        <v>-76.191000000000003</v>
      </c>
      <c r="C10" s="15">
        <v>-63.546999999999997</v>
      </c>
      <c r="D10" s="16"/>
      <c r="E10" s="16"/>
      <c r="F10" s="21">
        <v>-122.2</v>
      </c>
      <c r="G10" s="21">
        <v>-21.5</v>
      </c>
      <c r="H10" s="21">
        <v>-13.5</v>
      </c>
      <c r="I10" s="21">
        <v>-37.799999999999997</v>
      </c>
      <c r="J10" s="21">
        <v>-16.900000000000002</v>
      </c>
      <c r="K10" s="21">
        <v>-16</v>
      </c>
      <c r="L10" s="21">
        <v>-26.5</v>
      </c>
      <c r="M10" s="21">
        <v>-43.2</v>
      </c>
      <c r="N10" s="21">
        <v>-41.4</v>
      </c>
      <c r="O10" s="21">
        <v>-52.3</v>
      </c>
      <c r="P10" s="21">
        <v>-46.5</v>
      </c>
      <c r="Q10" s="141">
        <v>-45.7</v>
      </c>
      <c r="R10" s="141">
        <v>-46.7</v>
      </c>
      <c r="S10" s="141">
        <v>-70.24199999999999</v>
      </c>
      <c r="T10" s="141">
        <v>-66.731805082210428</v>
      </c>
      <c r="U10" s="141">
        <v>-51.390335995928041</v>
      </c>
      <c r="V10" s="141">
        <v>-58.14894370999999</v>
      </c>
      <c r="W10" s="141">
        <v>-45.394325530000017</v>
      </c>
      <c r="X10" s="141">
        <v>-51.649465619999994</v>
      </c>
      <c r="Y10" s="141">
        <v>-67.283290120034607</v>
      </c>
      <c r="Z10" s="141">
        <v>-52.722000000000001</v>
      </c>
      <c r="AA10" s="141">
        <v>-70.524000000000001</v>
      </c>
      <c r="AB10" s="141">
        <v>-58.560245980000005</v>
      </c>
      <c r="AC10" s="141">
        <v>-74.428024950000022</v>
      </c>
      <c r="AD10" s="141">
        <v>-76.024560837434237</v>
      </c>
      <c r="AE10" s="12"/>
      <c r="AF10" s="12"/>
    </row>
    <row r="11" spans="1:32" ht="15" thickBot="1">
      <c r="A11" s="161" t="s">
        <v>38</v>
      </c>
      <c r="B11" s="21">
        <v>-158.48400000000001</v>
      </c>
      <c r="C11" s="16">
        <v>-177.34299999999999</v>
      </c>
      <c r="D11" s="147"/>
      <c r="E11" s="147"/>
      <c r="F11" s="21">
        <v>-166.3</v>
      </c>
      <c r="G11" s="21">
        <v>-147.9</v>
      </c>
      <c r="H11" s="21">
        <v>-185.5</v>
      </c>
      <c r="I11" s="21">
        <v>-219.3</v>
      </c>
      <c r="J11" s="21">
        <v>-188.2</v>
      </c>
      <c r="K11" s="21">
        <v>-187.5</v>
      </c>
      <c r="L11" s="21">
        <v>-190.7</v>
      </c>
      <c r="M11" s="21">
        <v>-262.5</v>
      </c>
      <c r="N11" s="21">
        <v>-211.2</v>
      </c>
      <c r="O11" s="21">
        <v>-213.8</v>
      </c>
      <c r="P11" s="21">
        <v>-226</v>
      </c>
      <c r="Q11" s="141">
        <v>-226.4</v>
      </c>
      <c r="R11" s="141">
        <v>-211.1</v>
      </c>
      <c r="S11" s="141">
        <v>-196.92099999999999</v>
      </c>
      <c r="T11" s="141">
        <v>-172.91318355508687</v>
      </c>
      <c r="U11" s="141">
        <v>-206</v>
      </c>
      <c r="V11" s="141">
        <f t="shared" ref="V11:AA11" si="2">V12+V13</f>
        <v>-181.61446193201044</v>
      </c>
      <c r="W11" s="141">
        <f t="shared" si="2"/>
        <v>-192.56856725109429</v>
      </c>
      <c r="X11" s="141">
        <f t="shared" si="2"/>
        <v>-185.9371705420136</v>
      </c>
      <c r="Y11" s="141">
        <f t="shared" si="2"/>
        <v>-204.59415167822399</v>
      </c>
      <c r="Z11" s="141">
        <f t="shared" si="2"/>
        <v>-188.21600000000001</v>
      </c>
      <c r="AA11" s="141">
        <f t="shared" si="2"/>
        <v>-196.53300000000002</v>
      </c>
      <c r="AB11" s="141">
        <f t="shared" ref="AB11" si="3">AB12+AB13</f>
        <v>-192.06660383507065</v>
      </c>
      <c r="AC11" s="141">
        <f>AC12+AC13</f>
        <v>-187.20433573823996</v>
      </c>
      <c r="AD11" s="141">
        <f>AD12+AD13</f>
        <v>-198.91099935450018</v>
      </c>
    </row>
    <row r="12" spans="1:32">
      <c r="A12" s="162" t="s">
        <v>38</v>
      </c>
      <c r="B12" s="22">
        <v>-130.9</v>
      </c>
      <c r="C12" s="147">
        <v>-145.04099999999997</v>
      </c>
      <c r="D12" s="17"/>
      <c r="E12" s="17"/>
      <c r="F12" s="22">
        <v>-129.30000000000001</v>
      </c>
      <c r="G12" s="22">
        <v>-110.2</v>
      </c>
      <c r="H12" s="22">
        <v>-148.80000000000001</v>
      </c>
      <c r="I12" s="22">
        <v>-182.7</v>
      </c>
      <c r="J12" s="22">
        <v>-157</v>
      </c>
      <c r="K12" s="22">
        <v>-157.30000000000001</v>
      </c>
      <c r="L12" s="22">
        <v>-162.6</v>
      </c>
      <c r="M12" s="22">
        <v>-227.2</v>
      </c>
      <c r="N12" s="22">
        <v>-177.3</v>
      </c>
      <c r="O12" s="22">
        <v>-179.7</v>
      </c>
      <c r="P12" s="22">
        <v>-189.5</v>
      </c>
      <c r="Q12" s="142">
        <v>-188.8</v>
      </c>
      <c r="R12" s="141">
        <v>-172.7</v>
      </c>
      <c r="S12" s="141">
        <v>-156.65</v>
      </c>
      <c r="T12" s="141">
        <v>-135.32595028302759</v>
      </c>
      <c r="U12" s="141">
        <v>-148.69999999999999</v>
      </c>
      <c r="V12" s="141">
        <v>-139.35239827701045</v>
      </c>
      <c r="W12" s="141">
        <v>-142.39137904192768</v>
      </c>
      <c r="X12" s="141">
        <v>-140.21682448034701</v>
      </c>
      <c r="Y12" s="141">
        <v>-152.27825928325899</v>
      </c>
      <c r="Z12" s="141">
        <v>-144.69999999999999</v>
      </c>
      <c r="AA12" s="141">
        <v>-148.49199999999999</v>
      </c>
      <c r="AB12" s="141">
        <v>-144.83172944496482</v>
      </c>
      <c r="AC12" s="141">
        <v>-132.37377465735997</v>
      </c>
      <c r="AD12" s="141">
        <v>-150.94613078060019</v>
      </c>
    </row>
    <row r="13" spans="1:32" ht="15" thickBot="1">
      <c r="A13" s="162" t="s">
        <v>75</v>
      </c>
      <c r="B13" s="22">
        <v>-27.584</v>
      </c>
      <c r="C13" s="17">
        <v>-32.302000000000007</v>
      </c>
      <c r="D13" s="17"/>
      <c r="E13" s="17"/>
      <c r="F13" s="22">
        <v>-37</v>
      </c>
      <c r="G13" s="22">
        <v>-37.700000000000003</v>
      </c>
      <c r="H13" s="22">
        <v>-36.799999999999997</v>
      </c>
      <c r="I13" s="22">
        <v>-36.6</v>
      </c>
      <c r="J13" s="22">
        <v>-31.2</v>
      </c>
      <c r="K13" s="22">
        <v>-30.3</v>
      </c>
      <c r="L13" s="22">
        <v>-28.1</v>
      </c>
      <c r="M13" s="22">
        <v>-35.4</v>
      </c>
      <c r="N13" s="22">
        <v>-34</v>
      </c>
      <c r="O13" s="22">
        <v>-34.1</v>
      </c>
      <c r="P13" s="22">
        <v>-36.5</v>
      </c>
      <c r="Q13" s="142">
        <v>-37.6</v>
      </c>
      <c r="R13" s="141">
        <v>-38.4</v>
      </c>
      <c r="S13" s="141">
        <v>-40.271000000000001</v>
      </c>
      <c r="T13" s="141">
        <v>-37.587233272059279</v>
      </c>
      <c r="U13" s="141">
        <v>-57.227380842002006</v>
      </c>
      <c r="V13" s="141">
        <v>-42.262063654999999</v>
      </c>
      <c r="W13" s="141">
        <f>-50177188.2091666*10^-6</f>
        <v>-50.177188209166601</v>
      </c>
      <c r="X13" s="141">
        <v>-45.720346061666596</v>
      </c>
      <c r="Y13" s="141">
        <v>-52.315892394964997</v>
      </c>
      <c r="Z13" s="141">
        <v>-43.51600000000002</v>
      </c>
      <c r="AA13" s="141">
        <f>-384.749-Z11-AA12</f>
        <v>-48.041000000000025</v>
      </c>
      <c r="AB13" s="141">
        <v>-47.234874390105823</v>
      </c>
      <c r="AC13" s="141">
        <v>-54.830561080879995</v>
      </c>
      <c r="AD13" s="141">
        <v>-47.964868573899999</v>
      </c>
    </row>
    <row r="14" spans="1:32" ht="15" thickBot="1">
      <c r="A14" s="161" t="s">
        <v>76</v>
      </c>
      <c r="B14" s="21">
        <v>0.374</v>
      </c>
      <c r="C14" s="17">
        <v>3.472</v>
      </c>
      <c r="D14" s="147"/>
      <c r="E14" s="147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-0.1</v>
      </c>
      <c r="O14" s="21">
        <v>-0.2</v>
      </c>
      <c r="P14" s="21">
        <v>-0.2</v>
      </c>
      <c r="Q14" s="141">
        <v>-0.3</v>
      </c>
      <c r="R14" s="141">
        <v>-0.2</v>
      </c>
      <c r="S14" s="141">
        <v>-9.6000000000000002E-2</v>
      </c>
      <c r="T14" s="141">
        <v>-1.4216885473668299E-2</v>
      </c>
      <c r="U14" s="141">
        <v>2.2216885473668346E-2</v>
      </c>
      <c r="V14" s="141">
        <v>-6.8348983216073977E-3</v>
      </c>
      <c r="W14" s="141">
        <f>363515.901185429*10^-6</f>
        <v>0.36351590118542898</v>
      </c>
      <c r="X14" s="141">
        <v>0.17122010336842999</v>
      </c>
      <c r="Y14" s="141">
        <v>-1.4585999533166598</v>
      </c>
      <c r="Z14" s="141">
        <v>0</v>
      </c>
      <c r="AA14" s="141">
        <v>0</v>
      </c>
      <c r="AB14" s="141">
        <v>0</v>
      </c>
      <c r="AC14" s="141">
        <v>0</v>
      </c>
      <c r="AD14" s="141">
        <v>0</v>
      </c>
    </row>
    <row r="15" spans="1:32" ht="15" thickBot="1">
      <c r="A15" s="161" t="s">
        <v>187</v>
      </c>
      <c r="B15" s="22">
        <v>-21.626999999999999</v>
      </c>
      <c r="C15" s="147">
        <v>-93.733000000000004</v>
      </c>
      <c r="D15" s="147"/>
      <c r="E15" s="147"/>
      <c r="F15" s="22">
        <v>-287.10000000000002</v>
      </c>
      <c r="G15" s="22">
        <v>-46.800000000000004</v>
      </c>
      <c r="H15" s="22">
        <v>-19.399999999999999</v>
      </c>
      <c r="I15" s="22">
        <v>-1.0999999999999943</v>
      </c>
      <c r="J15" s="22">
        <v>-6.8999999999999986</v>
      </c>
      <c r="K15" s="22">
        <v>-42.099999999999994</v>
      </c>
      <c r="L15" s="22">
        <v>-25.7</v>
      </c>
      <c r="M15" s="22">
        <v>-33.799999999999997</v>
      </c>
      <c r="N15" s="22">
        <v>11.5</v>
      </c>
      <c r="O15" s="22">
        <v>5.5999999999999943</v>
      </c>
      <c r="P15" s="22">
        <v>-9.8000000000000043</v>
      </c>
      <c r="Q15" s="22">
        <v>36.5</v>
      </c>
      <c r="R15" s="22">
        <v>-13.900000000000002</v>
      </c>
      <c r="S15" s="22">
        <v>4.0405000000000015</v>
      </c>
      <c r="T15" s="22">
        <v>-106.77550253500897</v>
      </c>
      <c r="U15" s="22">
        <v>-1</v>
      </c>
      <c r="V15" s="22">
        <v>2.4</v>
      </c>
      <c r="W15" s="22">
        <f>1481204.66182309*10^-6</f>
        <v>1.4812046618230899</v>
      </c>
      <c r="X15" s="22">
        <v>-7.0830062608981992</v>
      </c>
      <c r="Y15" s="22">
        <v>-5.16825498142929</v>
      </c>
      <c r="Z15" s="22">
        <v>-9.1349999999999998</v>
      </c>
      <c r="AA15" s="22">
        <f>20.244-Z15</f>
        <v>29.378999999999998</v>
      </c>
      <c r="AB15" s="22">
        <v>18.111628339864676</v>
      </c>
      <c r="AC15" s="22">
        <v>-10.5</v>
      </c>
      <c r="AD15" s="22">
        <v>-6.9703669339780152</v>
      </c>
    </row>
    <row r="16" spans="1:32" ht="15" thickBot="1">
      <c r="A16" s="14" t="s">
        <v>78</v>
      </c>
      <c r="B16" s="20">
        <v>113.38800000000001</v>
      </c>
      <c r="C16" s="147">
        <v>106.18199999999999</v>
      </c>
      <c r="D16" s="146"/>
      <c r="E16" s="146"/>
      <c r="F16" s="20">
        <v>-335.8</v>
      </c>
      <c r="G16" s="20">
        <v>-211.7</v>
      </c>
      <c r="H16" s="20">
        <v>-161.5</v>
      </c>
      <c r="I16" s="20">
        <v>-116.5</v>
      </c>
      <c r="J16" s="20">
        <v>-62.4</v>
      </c>
      <c r="K16" s="20">
        <v>-155.6</v>
      </c>
      <c r="L16" s="20">
        <v>-38.1</v>
      </c>
      <c r="M16" s="20">
        <v>-77.400000000000006</v>
      </c>
      <c r="N16" s="20">
        <f>SUM(N7,N9)</f>
        <v>-0.39999999999997726</v>
      </c>
      <c r="O16" s="20">
        <f t="shared" ref="O16:AA16" si="4">SUM(O7,O9)</f>
        <v>-49.400000000000034</v>
      </c>
      <c r="P16" s="20">
        <f t="shared" si="4"/>
        <v>-29.900000000000006</v>
      </c>
      <c r="Q16" s="143">
        <f t="shared" si="4"/>
        <v>19.799999999999955</v>
      </c>
      <c r="R16" s="143">
        <f t="shared" si="4"/>
        <v>-50.599999999999966</v>
      </c>
      <c r="S16" s="143">
        <f t="shared" si="4"/>
        <v>-62.650499999999994</v>
      </c>
      <c r="T16" s="143">
        <f t="shared" si="4"/>
        <v>-40.445483586792989</v>
      </c>
      <c r="U16" s="143">
        <f t="shared" si="4"/>
        <v>11.931880889545653</v>
      </c>
      <c r="V16" s="143">
        <f t="shared" si="4"/>
        <v>20.0516033029526</v>
      </c>
      <c r="W16" s="143">
        <f t="shared" si="4"/>
        <v>6.5526013105291838</v>
      </c>
      <c r="X16" s="143">
        <f t="shared" si="4"/>
        <v>64.921664947399194</v>
      </c>
      <c r="Y16" s="143">
        <f t="shared" si="4"/>
        <v>31.003286108831446</v>
      </c>
      <c r="Z16" s="143">
        <f t="shared" si="4"/>
        <v>31.126000000000005</v>
      </c>
      <c r="AA16" s="143">
        <f t="shared" si="4"/>
        <v>43.762724061867203</v>
      </c>
      <c r="AB16" s="143">
        <f t="shared" ref="AB16" si="5">SUM(AB7,AB9)</f>
        <v>86.260803152673958</v>
      </c>
      <c r="AC16" s="143">
        <f>SUM(AC7,AC9)</f>
        <v>44.177411944804987</v>
      </c>
      <c r="AD16" s="143">
        <f>SUM(AD7,AD9)</f>
        <v>16.325442542048052</v>
      </c>
    </row>
    <row r="17" spans="1:32" ht="15" thickBot="1">
      <c r="A17" s="17" t="s">
        <v>79</v>
      </c>
      <c r="B17" s="22">
        <v>-45.401000000000003</v>
      </c>
      <c r="C17" s="146">
        <v>-53.303999999999995</v>
      </c>
      <c r="D17" s="18"/>
      <c r="E17" s="18"/>
      <c r="F17" s="22">
        <v>-41.3</v>
      </c>
      <c r="G17" s="22">
        <v>4.8</v>
      </c>
      <c r="H17" s="22">
        <v>-9.1</v>
      </c>
      <c r="I17" s="22">
        <v>-90.6</v>
      </c>
      <c r="J17" s="22">
        <v>-13.8</v>
      </c>
      <c r="K17" s="22">
        <v>-36</v>
      </c>
      <c r="L17" s="22">
        <v>-20.8</v>
      </c>
      <c r="M17" s="22">
        <v>-58.7</v>
      </c>
      <c r="N17" s="22">
        <v>-85.4</v>
      </c>
      <c r="O17" s="22">
        <v>-37.299999999999997</v>
      </c>
      <c r="P17" s="22">
        <v>-59</v>
      </c>
      <c r="Q17" s="142">
        <v>-110.8</v>
      </c>
      <c r="R17" s="142">
        <v>-88.4</v>
      </c>
      <c r="S17" s="142">
        <v>-101.922</v>
      </c>
      <c r="T17" s="142">
        <v>-74.146268118719632</v>
      </c>
      <c r="U17" s="142">
        <v>-43.5</v>
      </c>
      <c r="V17" s="142">
        <v>-64.120319389211957</v>
      </c>
      <c r="W17" s="142">
        <v>-28.788549427487197</v>
      </c>
      <c r="X17" s="142">
        <v>-59.996734994579775</v>
      </c>
      <c r="Y17" s="142">
        <v>-65.028895447119282</v>
      </c>
      <c r="Z17" s="142">
        <v>-84.338000000000008</v>
      </c>
      <c r="AA17" s="142">
        <f>-158.985-Z17-2.89036589570037</f>
        <v>-77.537365895700376</v>
      </c>
      <c r="AB17" s="142">
        <v>-32.366771061283934</v>
      </c>
      <c r="AC17" s="142">
        <v>-75.84283907005819</v>
      </c>
      <c r="AD17" s="142">
        <v>-83.858527627400008</v>
      </c>
    </row>
    <row r="18" spans="1:32" s="13" customFormat="1" ht="15" thickBot="1">
      <c r="A18" s="14" t="s">
        <v>80</v>
      </c>
      <c r="B18" s="20">
        <v>67.986999999999995</v>
      </c>
      <c r="C18" s="18">
        <v>52.878</v>
      </c>
      <c r="D18" s="146"/>
      <c r="E18" s="146"/>
      <c r="F18" s="20">
        <v>-377.1</v>
      </c>
      <c r="G18" s="20">
        <v>-206.9</v>
      </c>
      <c r="H18" s="20">
        <v>-170.6</v>
      </c>
      <c r="I18" s="20">
        <v>-207.1</v>
      </c>
      <c r="J18" s="20">
        <v>-76.099999999999994</v>
      </c>
      <c r="K18" s="20">
        <v>-191.5</v>
      </c>
      <c r="L18" s="20">
        <v>-58.9</v>
      </c>
      <c r="M18" s="20">
        <v>-136.1</v>
      </c>
      <c r="N18" s="20">
        <f>SUM(N16:N17)</f>
        <v>-85.799999999999983</v>
      </c>
      <c r="O18" s="20">
        <f t="shared" ref="O18:AA18" si="6">SUM(O16:O17)</f>
        <v>-86.700000000000031</v>
      </c>
      <c r="P18" s="20">
        <f t="shared" si="6"/>
        <v>-88.9</v>
      </c>
      <c r="Q18" s="143">
        <f t="shared" si="6"/>
        <v>-91.000000000000043</v>
      </c>
      <c r="R18" s="143">
        <f t="shared" si="6"/>
        <v>-138.99999999999997</v>
      </c>
      <c r="S18" s="143">
        <f t="shared" si="6"/>
        <v>-164.57249999999999</v>
      </c>
      <c r="T18" s="143">
        <f t="shared" si="6"/>
        <v>-114.59175170551262</v>
      </c>
      <c r="U18" s="143">
        <f t="shared" si="6"/>
        <v>-31.568119110454347</v>
      </c>
      <c r="V18" s="143">
        <f t="shared" si="6"/>
        <v>-44.068716086259357</v>
      </c>
      <c r="W18" s="143">
        <f t="shared" si="6"/>
        <v>-22.235948116958014</v>
      </c>
      <c r="X18" s="143">
        <f t="shared" si="6"/>
        <v>4.9249299528194186</v>
      </c>
      <c r="Y18" s="143">
        <f t="shared" si="6"/>
        <v>-34.025609338287836</v>
      </c>
      <c r="Z18" s="143">
        <f t="shared" si="6"/>
        <v>-53.212000000000003</v>
      </c>
      <c r="AA18" s="143">
        <f t="shared" si="6"/>
        <v>-33.774641833833172</v>
      </c>
      <c r="AB18" s="143">
        <f t="shared" ref="AB18" si="7">SUM(AB16:AB17)</f>
        <v>53.894032091390024</v>
      </c>
      <c r="AC18" s="143">
        <f>SUM(AC16:AC17)</f>
        <v>-31.665427125253203</v>
      </c>
      <c r="AD18" s="143">
        <f>SUM(AD16:AD17)</f>
        <v>-67.533085085351956</v>
      </c>
      <c r="AE18" s="12"/>
      <c r="AF18" s="12"/>
    </row>
    <row r="19" spans="1:32" s="13" customFormat="1" ht="15" thickBot="1">
      <c r="A19" s="161" t="s">
        <v>81</v>
      </c>
      <c r="B19" s="21">
        <v>34.347000000000001</v>
      </c>
      <c r="C19" s="146">
        <v>-87.087999999999994</v>
      </c>
      <c r="D19" s="147"/>
      <c r="E19" s="147"/>
      <c r="F19" s="21">
        <v>-254.5</v>
      </c>
      <c r="G19" s="21">
        <v>-47.6</v>
      </c>
      <c r="H19" s="21">
        <v>-1.6</v>
      </c>
      <c r="I19" s="21">
        <v>613.6</v>
      </c>
      <c r="J19" s="21">
        <v>33.6</v>
      </c>
      <c r="K19" s="21">
        <v>36.200000000000003</v>
      </c>
      <c r="L19" s="21">
        <v>-5.9</v>
      </c>
      <c r="M19" s="21">
        <v>-2.1</v>
      </c>
      <c r="N19" s="21">
        <v>-64.400000000000006</v>
      </c>
      <c r="O19" s="21">
        <v>-2.8</v>
      </c>
      <c r="P19" s="21">
        <v>-3.9</v>
      </c>
      <c r="Q19" s="141">
        <v>-14.2</v>
      </c>
      <c r="R19" s="141">
        <v>6</v>
      </c>
      <c r="S19" s="141">
        <v>8.1810000000000009</v>
      </c>
      <c r="T19" s="141">
        <v>3.2972884782575789</v>
      </c>
      <c r="U19" s="141">
        <v>-21.3</v>
      </c>
      <c r="V19" s="141">
        <v>-0.74145307250000037</v>
      </c>
      <c r="W19" s="141">
        <f>-6534275.29249999*10^-6</f>
        <v>-6.5342752924999896</v>
      </c>
      <c r="X19" s="141">
        <v>-3.4254493383333298</v>
      </c>
      <c r="Y19" s="141">
        <v>-12.956969280619099</v>
      </c>
      <c r="Z19" s="141">
        <v>-2.8210000000000002</v>
      </c>
      <c r="AA19" s="141">
        <f>-5.715-Z19</f>
        <v>-2.8939999999999997</v>
      </c>
      <c r="AB19" s="141">
        <v>19.568266738624384</v>
      </c>
      <c r="AC19" s="141">
        <v>-28.605201090000005</v>
      </c>
      <c r="AD19" s="141">
        <v>-8.6675227300000017</v>
      </c>
      <c r="AE19" s="12"/>
      <c r="AF19" s="12"/>
    </row>
    <row r="20" spans="1:32" s="13" customFormat="1" ht="15" thickBot="1">
      <c r="A20" s="14" t="s">
        <v>82</v>
      </c>
      <c r="B20" s="20">
        <v>33.64</v>
      </c>
      <c r="C20" s="17">
        <v>34.483999999999995</v>
      </c>
      <c r="D20" s="146"/>
      <c r="E20" s="146"/>
      <c r="F20" s="20">
        <v>-631.6</v>
      </c>
      <c r="G20" s="20">
        <v>-254.5</v>
      </c>
      <c r="H20" s="20">
        <v>-172.2</v>
      </c>
      <c r="I20" s="20">
        <v>406.5</v>
      </c>
      <c r="J20" s="20">
        <v>-42.5</v>
      </c>
      <c r="K20" s="20">
        <v>-155.30000000000001</v>
      </c>
      <c r="L20" s="20">
        <v>-64.8</v>
      </c>
      <c r="M20" s="20">
        <v>-138.19999999999999</v>
      </c>
      <c r="N20" s="20">
        <f>SUM(N18:N19)</f>
        <v>-150.19999999999999</v>
      </c>
      <c r="O20" s="20">
        <f t="shared" ref="O20:Z20" si="8">SUM(O18:O19)</f>
        <v>-89.500000000000028</v>
      </c>
      <c r="P20" s="20">
        <f t="shared" si="8"/>
        <v>-92.800000000000011</v>
      </c>
      <c r="Q20" s="20">
        <f t="shared" si="8"/>
        <v>-105.20000000000005</v>
      </c>
      <c r="R20" s="20">
        <f t="shared" si="8"/>
        <v>-132.99999999999997</v>
      </c>
      <c r="S20" s="20">
        <f t="shared" si="8"/>
        <v>-156.39149999999998</v>
      </c>
      <c r="T20" s="20">
        <f t="shared" si="8"/>
        <v>-111.29446322725504</v>
      </c>
      <c r="U20" s="20">
        <f t="shared" si="8"/>
        <v>-52.868119110454344</v>
      </c>
      <c r="V20" s="20">
        <f t="shared" si="8"/>
        <v>-44.810169158759358</v>
      </c>
      <c r="W20" s="20">
        <f t="shared" si="8"/>
        <v>-28.770223409458005</v>
      </c>
      <c r="X20" s="20">
        <f t="shared" si="8"/>
        <v>1.4994806144860888</v>
      </c>
      <c r="Y20" s="20">
        <f t="shared" si="8"/>
        <v>-46.982578618906935</v>
      </c>
      <c r="Z20" s="20">
        <f t="shared" si="8"/>
        <v>-56.033000000000001</v>
      </c>
      <c r="AA20" s="20">
        <f t="shared" ref="AA20:AB20" si="9">SUM(AA18:AA19)</f>
        <v>-36.668641833833171</v>
      </c>
      <c r="AB20" s="20">
        <f t="shared" si="9"/>
        <v>73.462298830014404</v>
      </c>
      <c r="AC20" s="20">
        <f>SUM(AC18:AC19)</f>
        <v>-60.270628215253211</v>
      </c>
      <c r="AD20" s="20">
        <f>SUM(AD18:AD19)</f>
        <v>-76.200607815351958</v>
      </c>
      <c r="AE20" s="12"/>
      <c r="AF20" s="12"/>
    </row>
    <row r="21" spans="1:32" s="13" customFormat="1" ht="15" thickBot="1">
      <c r="A21" s="19" t="s">
        <v>83</v>
      </c>
      <c r="B21" s="23">
        <v>34.268000000000001</v>
      </c>
      <c r="C21" s="146">
        <v>34.691999999999993</v>
      </c>
      <c r="D21" s="148"/>
      <c r="E21" s="148"/>
      <c r="F21" s="23">
        <v>-632</v>
      </c>
      <c r="G21" s="23">
        <v>-253.6</v>
      </c>
      <c r="H21" s="23">
        <v>-173.5</v>
      </c>
      <c r="I21" s="23">
        <v>406.8</v>
      </c>
      <c r="J21" s="23">
        <v>-42.9</v>
      </c>
      <c r="K21" s="23">
        <v>-155.4</v>
      </c>
      <c r="L21" s="23">
        <v>-64.900000000000006</v>
      </c>
      <c r="M21" s="23">
        <v>-138.19999999999999</v>
      </c>
      <c r="N21" s="23">
        <f>N20</f>
        <v>-150.19999999999999</v>
      </c>
      <c r="O21" s="23">
        <f t="shared" ref="O21:Y21" si="10">O20</f>
        <v>-89.500000000000028</v>
      </c>
      <c r="P21" s="23">
        <f t="shared" si="10"/>
        <v>-92.800000000000011</v>
      </c>
      <c r="Q21" s="142">
        <f t="shared" si="10"/>
        <v>-105.20000000000005</v>
      </c>
      <c r="R21" s="142">
        <f t="shared" si="10"/>
        <v>-132.99999999999997</v>
      </c>
      <c r="S21" s="142">
        <f t="shared" si="10"/>
        <v>-156.39149999999998</v>
      </c>
      <c r="T21" s="142">
        <f t="shared" si="10"/>
        <v>-111.29446322725504</v>
      </c>
      <c r="U21" s="142">
        <f t="shared" si="10"/>
        <v>-52.868119110454344</v>
      </c>
      <c r="V21" s="142">
        <f t="shared" si="10"/>
        <v>-44.810169158759358</v>
      </c>
      <c r="W21" s="142">
        <f t="shared" si="10"/>
        <v>-28.770223409458005</v>
      </c>
      <c r="X21" s="142">
        <f t="shared" si="10"/>
        <v>1.4994806144860888</v>
      </c>
      <c r="Y21" s="142">
        <f t="shared" si="10"/>
        <v>-46.982578618906935</v>
      </c>
      <c r="Z21" s="142">
        <f t="shared" ref="Z21" si="11">Z20</f>
        <v>-56.033000000000001</v>
      </c>
      <c r="AA21" s="142">
        <f t="shared" ref="AA21:AB21" si="12">AA20</f>
        <v>-36.668641833833171</v>
      </c>
      <c r="AB21" s="142">
        <f t="shared" si="12"/>
        <v>73.462298830014404</v>
      </c>
      <c r="AC21" s="142">
        <f>AC20</f>
        <v>-60.270628215253211</v>
      </c>
      <c r="AD21" s="142">
        <f>AD20</f>
        <v>-76.200607815351958</v>
      </c>
      <c r="AE21" s="12"/>
      <c r="AF21" s="12"/>
    </row>
    <row r="22" spans="1:32">
      <c r="A22" s="19" t="s">
        <v>84</v>
      </c>
      <c r="B22" s="24">
        <v>-0.52800000000000002</v>
      </c>
      <c r="C22" s="148">
        <v>-0.30799999999999994</v>
      </c>
      <c r="D22" s="148"/>
      <c r="E22" s="148"/>
      <c r="F22" s="24">
        <v>0.4</v>
      </c>
      <c r="G22" s="24">
        <v>-0.9</v>
      </c>
      <c r="H22" s="24">
        <v>1.2</v>
      </c>
      <c r="I22" s="24">
        <v>-0.3</v>
      </c>
      <c r="J22" s="24">
        <v>0.4</v>
      </c>
      <c r="K22" s="24">
        <v>0.1</v>
      </c>
      <c r="L22" s="24">
        <v>0.1</v>
      </c>
      <c r="M22" s="24">
        <v>0</v>
      </c>
      <c r="N22" s="24">
        <v>0</v>
      </c>
      <c r="O22" s="24">
        <v>0</v>
      </c>
      <c r="P22" s="24">
        <v>0</v>
      </c>
      <c r="Q22" s="145">
        <v>0</v>
      </c>
      <c r="R22" s="145">
        <v>0</v>
      </c>
      <c r="S22" s="145">
        <v>0</v>
      </c>
      <c r="T22" s="145">
        <v>0</v>
      </c>
      <c r="U22" s="145">
        <v>0</v>
      </c>
      <c r="V22" s="145">
        <v>0</v>
      </c>
      <c r="W22" s="145">
        <v>0</v>
      </c>
      <c r="X22" s="145">
        <v>0</v>
      </c>
      <c r="Y22" s="145">
        <v>0</v>
      </c>
      <c r="Z22" s="145">
        <v>0</v>
      </c>
      <c r="AA22" s="145">
        <v>0</v>
      </c>
      <c r="AB22" s="145">
        <v>0</v>
      </c>
      <c r="AC22" s="145">
        <v>0</v>
      </c>
      <c r="AD22" s="145">
        <v>0</v>
      </c>
    </row>
    <row r="23" spans="1:32">
      <c r="C23" s="148"/>
      <c r="F23"/>
      <c r="G23"/>
      <c r="H23"/>
      <c r="I23"/>
      <c r="J23"/>
      <c r="K23"/>
      <c r="N23"/>
      <c r="O23"/>
      <c r="Q23" s="137"/>
      <c r="R23" s="137"/>
      <c r="S23" s="137"/>
      <c r="T23" s="137"/>
      <c r="V23" s="137"/>
      <c r="W23" s="137"/>
      <c r="X23" s="137"/>
      <c r="Y23" s="137"/>
      <c r="Z23" s="137"/>
      <c r="AA23" s="137"/>
      <c r="AB23" s="137"/>
      <c r="AC23" s="137"/>
      <c r="AD23" s="137"/>
    </row>
    <row r="24" spans="1:32">
      <c r="F24"/>
      <c r="G24"/>
      <c r="H24"/>
      <c r="I24"/>
      <c r="J24"/>
      <c r="K24"/>
      <c r="N24"/>
      <c r="O24"/>
      <c r="Q24" s="137"/>
      <c r="R24" s="137"/>
      <c r="S24" s="137"/>
      <c r="T24" s="137"/>
      <c r="V24" s="137"/>
      <c r="W24" s="137"/>
      <c r="X24" s="137"/>
      <c r="Y24" s="137"/>
      <c r="Z24" s="137"/>
      <c r="AA24" s="137"/>
      <c r="AB24" s="137"/>
      <c r="AC24" s="137"/>
      <c r="AD24" s="137"/>
    </row>
    <row r="25" spans="1:32">
      <c r="Q25" s="137"/>
      <c r="R25" s="137"/>
      <c r="S25" s="137"/>
      <c r="T25" s="137"/>
      <c r="V25" s="137"/>
      <c r="W25" s="137"/>
      <c r="X25" s="137"/>
      <c r="Y25" s="137"/>
      <c r="Z25" s="137"/>
      <c r="AA25" s="137"/>
      <c r="AB25" s="137"/>
      <c r="AC25" s="137"/>
      <c r="AD25" s="137"/>
    </row>
    <row r="26" spans="1:32">
      <c r="Q26" s="137"/>
      <c r="R26" s="137"/>
      <c r="S26" s="137"/>
      <c r="T26" s="137"/>
      <c r="V26" s="137"/>
      <c r="W26" s="137"/>
      <c r="X26" s="137"/>
      <c r="Y26" s="137"/>
      <c r="Z26" s="137"/>
      <c r="AA26" s="137"/>
      <c r="AB26" s="137"/>
      <c r="AC26" s="137"/>
      <c r="AD26" s="137"/>
    </row>
    <row r="27" spans="1:32" ht="4.5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</row>
    <row r="28" spans="1:32">
      <c r="F28"/>
      <c r="G28"/>
      <c r="H28"/>
      <c r="I28"/>
      <c r="J28"/>
      <c r="K28"/>
      <c r="N28"/>
      <c r="O28"/>
    </row>
    <row r="30" spans="1:32"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32"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32"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6:15"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6:15">
      <c r="F34" s="36"/>
      <c r="G34" s="36"/>
      <c r="H34" s="36"/>
      <c r="I34" s="36"/>
      <c r="J34" s="36"/>
      <c r="K34" s="36"/>
      <c r="L34" s="36"/>
      <c r="M34" s="36"/>
      <c r="N34" s="36"/>
      <c r="O34" s="36"/>
    </row>
    <row r="35" spans="6:15">
      <c r="F35" s="36"/>
      <c r="G35" s="36"/>
      <c r="H35" s="36"/>
      <c r="I35" s="36"/>
      <c r="J35" s="36"/>
      <c r="K35" s="36"/>
      <c r="L35" s="36"/>
      <c r="M35" s="36"/>
      <c r="N35" s="36"/>
      <c r="O35" s="36"/>
    </row>
    <row r="36" spans="6:15"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6:15">
      <c r="F37" s="36"/>
      <c r="G37" s="36"/>
      <c r="H37" s="36"/>
      <c r="I37" s="36"/>
      <c r="J37" s="36"/>
      <c r="K37" s="36"/>
      <c r="L37" s="36"/>
      <c r="M37" s="36"/>
      <c r="N37" s="36"/>
      <c r="O37" s="36"/>
    </row>
    <row r="38" spans="6:15">
      <c r="F38" s="36"/>
      <c r="G38" s="36"/>
      <c r="H38" s="36"/>
      <c r="I38" s="36"/>
      <c r="J38" s="36"/>
      <c r="K38" s="36"/>
      <c r="L38" s="36"/>
      <c r="M38" s="36"/>
      <c r="N38" s="36"/>
      <c r="O38" s="36"/>
    </row>
    <row r="39" spans="6:15">
      <c r="F39" s="36"/>
      <c r="G39" s="36"/>
      <c r="H39" s="36"/>
      <c r="I39" s="36"/>
      <c r="J39" s="36"/>
      <c r="K39" s="36"/>
      <c r="L39" s="36"/>
      <c r="M39" s="36"/>
      <c r="N39" s="36"/>
      <c r="O39" s="36"/>
    </row>
    <row r="40" spans="6:15">
      <c r="F40" s="36"/>
      <c r="G40" s="36"/>
      <c r="H40" s="36"/>
      <c r="I40" s="36"/>
      <c r="J40" s="36"/>
      <c r="K40" s="36"/>
      <c r="L40" s="36"/>
      <c r="M40" s="36"/>
      <c r="N40" s="36"/>
      <c r="O40" s="36"/>
    </row>
    <row r="41" spans="6:15">
      <c r="F41" s="36"/>
      <c r="G41" s="36"/>
      <c r="H41" s="36"/>
      <c r="I41" s="36"/>
      <c r="J41" s="36"/>
      <c r="K41" s="36"/>
      <c r="L41" s="36"/>
      <c r="M41" s="36"/>
      <c r="N41" s="36"/>
      <c r="O41" s="36"/>
    </row>
    <row r="42" spans="6:15">
      <c r="F42" s="36"/>
      <c r="G42" s="36"/>
      <c r="H42" s="36"/>
      <c r="I42" s="36"/>
      <c r="J42" s="36"/>
      <c r="K42" s="36"/>
      <c r="L42" s="36"/>
      <c r="M42" s="36"/>
      <c r="N42" s="36"/>
      <c r="O42" s="36"/>
    </row>
    <row r="43" spans="6:15"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6:15">
      <c r="F44" s="36"/>
      <c r="G44" s="36"/>
      <c r="H44" s="36"/>
      <c r="I44" s="36"/>
      <c r="J44" s="36"/>
      <c r="K44" s="36"/>
      <c r="L44" s="36"/>
      <c r="M44" s="36"/>
      <c r="N44" s="36"/>
      <c r="O44" s="36"/>
    </row>
    <row r="45" spans="6:15">
      <c r="F45" s="36"/>
      <c r="G45" s="36"/>
      <c r="H45" s="36"/>
      <c r="I45" s="36"/>
      <c r="J45" s="36"/>
      <c r="K45" s="36"/>
      <c r="L45" s="36"/>
      <c r="M45" s="36"/>
      <c r="N45" s="36"/>
      <c r="O45" s="36"/>
    </row>
    <row r="46" spans="6:15">
      <c r="F46" s="36"/>
      <c r="G46" s="36"/>
      <c r="H46" s="36"/>
      <c r="I46" s="36"/>
      <c r="J46" s="36"/>
      <c r="K46" s="36"/>
      <c r="L46" s="36"/>
      <c r="M46" s="36"/>
      <c r="N46" s="36"/>
      <c r="O46" s="36"/>
    </row>
    <row r="47" spans="6:15"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6:15"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6:15">
      <c r="F49" s="36"/>
      <c r="G49" s="36"/>
      <c r="H49" s="36"/>
      <c r="I49" s="36"/>
      <c r="J49" s="36"/>
      <c r="K49" s="36"/>
      <c r="L49" s="36"/>
      <c r="M49" s="36"/>
      <c r="N49" s="36"/>
      <c r="O49" s="36"/>
    </row>
    <row r="50" spans="6:15"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6:15">
      <c r="F51" s="36"/>
      <c r="G51" s="36"/>
      <c r="H51" s="36"/>
      <c r="I51" s="36"/>
      <c r="J51" s="36"/>
      <c r="K51" s="36"/>
      <c r="L51" s="36"/>
      <c r="M51" s="36"/>
      <c r="N51" s="36"/>
      <c r="O51" s="36"/>
    </row>
    <row r="52" spans="6:15">
      <c r="F52" s="36"/>
      <c r="G52" s="36"/>
      <c r="H52" s="36"/>
      <c r="I52" s="36"/>
      <c r="J52" s="36"/>
      <c r="K52" s="36"/>
      <c r="L52" s="36"/>
      <c r="M52" s="36"/>
      <c r="N52" s="36"/>
      <c r="O52" s="36"/>
    </row>
    <row r="53" spans="6:15">
      <c r="F53" s="36"/>
      <c r="G53" s="36"/>
      <c r="H53" s="36"/>
      <c r="I53" s="36"/>
      <c r="J53" s="36"/>
      <c r="K53" s="36"/>
      <c r="L53" s="36"/>
      <c r="M53" s="36"/>
      <c r="N53" s="36"/>
      <c r="O53" s="36"/>
    </row>
    <row r="54" spans="6:15">
      <c r="F54" s="36"/>
      <c r="G54" s="36"/>
      <c r="H54" s="36"/>
      <c r="I54" s="36"/>
      <c r="J54" s="36"/>
      <c r="K54" s="36"/>
      <c r="L54" s="36"/>
      <c r="M54" s="36"/>
      <c r="N54" s="36"/>
      <c r="O54" s="36"/>
    </row>
    <row r="55" spans="6:15">
      <c r="F55" s="36"/>
      <c r="G55" s="36"/>
      <c r="H55" s="36"/>
      <c r="I55" s="36"/>
      <c r="J55" s="36"/>
      <c r="K55" s="36"/>
      <c r="L55" s="36"/>
      <c r="M55" s="36"/>
      <c r="N55" s="36"/>
      <c r="O55" s="36"/>
    </row>
    <row r="56" spans="6:15">
      <c r="F56" s="36"/>
      <c r="G56" s="36"/>
      <c r="H56" s="36"/>
      <c r="I56" s="36"/>
      <c r="J56" s="36"/>
      <c r="K56" s="36"/>
      <c r="L56" s="36"/>
      <c r="M56" s="36"/>
      <c r="N56" s="36"/>
      <c r="O56" s="36"/>
    </row>
    <row r="57" spans="6:15">
      <c r="F57" s="36"/>
      <c r="G57" s="36"/>
      <c r="H57" s="36"/>
      <c r="I57" s="36"/>
      <c r="J57" s="36"/>
      <c r="K57" s="36"/>
      <c r="L57" s="36"/>
      <c r="M57" s="36"/>
      <c r="N57" s="36"/>
      <c r="O57" s="36"/>
    </row>
    <row r="58" spans="6:15">
      <c r="F58" s="36"/>
      <c r="G58" s="36"/>
      <c r="H58" s="36"/>
      <c r="I58" s="36"/>
      <c r="J58" s="36"/>
      <c r="K58" s="36"/>
      <c r="L58" s="36"/>
      <c r="M58" s="36"/>
      <c r="N58" s="36"/>
      <c r="O58" s="36"/>
    </row>
    <row r="59" spans="6:15">
      <c r="F59" s="36"/>
      <c r="G59" s="36"/>
      <c r="H59" s="36"/>
      <c r="I59" s="36"/>
      <c r="J59" s="36"/>
      <c r="K59" s="36"/>
      <c r="L59" s="36"/>
      <c r="M59" s="36"/>
      <c r="N59" s="36"/>
      <c r="O59" s="36"/>
    </row>
    <row r="60" spans="6:15">
      <c r="F60" s="36"/>
      <c r="G60" s="36"/>
      <c r="H60" s="36"/>
      <c r="I60" s="36"/>
      <c r="J60" s="36"/>
      <c r="K60" s="36"/>
      <c r="L60" s="36"/>
      <c r="M60" s="36"/>
      <c r="N60" s="36"/>
      <c r="O60" s="36"/>
    </row>
    <row r="61" spans="6:15">
      <c r="F61" s="36"/>
      <c r="G61" s="36"/>
      <c r="H61" s="36"/>
      <c r="I61" s="36"/>
      <c r="J61" s="36"/>
      <c r="K61" s="36"/>
      <c r="L61" s="36"/>
      <c r="M61" s="36"/>
      <c r="N61" s="36"/>
      <c r="O61" s="36"/>
    </row>
    <row r="62" spans="6:15"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6:15">
      <c r="F63" s="36"/>
      <c r="G63" s="36"/>
      <c r="H63" s="36"/>
      <c r="I63" s="36"/>
      <c r="J63" s="36"/>
      <c r="K63" s="36"/>
      <c r="L63" s="36"/>
      <c r="M63" s="36"/>
      <c r="N63" s="36"/>
      <c r="O63" s="36"/>
    </row>
    <row r="64" spans="6:15">
      <c r="F64" s="36"/>
      <c r="G64" s="36"/>
      <c r="H64" s="36"/>
      <c r="I64" s="36"/>
      <c r="J64" s="36"/>
      <c r="K64" s="36"/>
      <c r="L64" s="36"/>
      <c r="M64" s="36"/>
      <c r="N64" s="36"/>
      <c r="O64" s="36"/>
    </row>
    <row r="65" spans="6:15">
      <c r="F65" s="36"/>
      <c r="G65" s="36"/>
      <c r="H65" s="36"/>
      <c r="I65" s="36"/>
      <c r="J65" s="36"/>
      <c r="K65" s="36"/>
      <c r="L65" s="36"/>
      <c r="M65" s="36"/>
      <c r="N65" s="36"/>
      <c r="O65" s="36"/>
    </row>
    <row r="66" spans="6:15">
      <c r="F66" s="36"/>
      <c r="G66" s="36"/>
      <c r="H66" s="36"/>
      <c r="I66" s="36"/>
      <c r="J66" s="36"/>
      <c r="K66" s="36"/>
      <c r="L66" s="36"/>
      <c r="M66" s="36"/>
      <c r="N66" s="36"/>
      <c r="O66" s="36"/>
    </row>
    <row r="67" spans="6:15"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6:15"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6:15"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6:15"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6:15"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6:15">
      <c r="F72" s="36"/>
      <c r="G72" s="36"/>
      <c r="H72" s="36"/>
      <c r="I72" s="36"/>
      <c r="J72" s="36"/>
      <c r="K72" s="36"/>
      <c r="L72" s="36"/>
      <c r="M72" s="36"/>
      <c r="N72" s="36"/>
      <c r="O72" s="36"/>
    </row>
    <row r="73" spans="6:15">
      <c r="F73" s="36"/>
      <c r="G73" s="36"/>
      <c r="H73" s="36"/>
      <c r="I73" s="36"/>
      <c r="J73" s="36"/>
      <c r="K73" s="36"/>
      <c r="L73" s="36"/>
      <c r="M73" s="36"/>
      <c r="N73" s="36"/>
      <c r="O73" s="36"/>
    </row>
    <row r="74" spans="6:15">
      <c r="F74" s="36"/>
      <c r="G74" s="36"/>
      <c r="H74" s="36"/>
      <c r="I74" s="36"/>
      <c r="J74" s="36"/>
      <c r="K74" s="36"/>
      <c r="L74" s="36"/>
      <c r="M74" s="36"/>
      <c r="N74" s="36"/>
      <c r="O74" s="36"/>
    </row>
    <row r="75" spans="6:15">
      <c r="F75" s="36"/>
      <c r="G75" s="36"/>
      <c r="H75" s="36"/>
      <c r="I75" s="36"/>
      <c r="J75" s="36"/>
      <c r="K75" s="36"/>
      <c r="L75" s="36"/>
      <c r="M75" s="36"/>
      <c r="N75" s="36"/>
      <c r="O75" s="36"/>
    </row>
    <row r="76" spans="6:15">
      <c r="F76" s="36"/>
      <c r="G76" s="36"/>
      <c r="H76" s="36"/>
      <c r="I76" s="36"/>
      <c r="J76" s="36"/>
      <c r="K76" s="36"/>
      <c r="L76" s="36"/>
      <c r="M76" s="36"/>
      <c r="N76" s="36"/>
      <c r="O76" s="36"/>
    </row>
    <row r="77" spans="6:15">
      <c r="F77" s="36"/>
      <c r="G77" s="36"/>
      <c r="H77" s="36"/>
      <c r="I77" s="36"/>
      <c r="J77" s="36"/>
      <c r="K77" s="36"/>
      <c r="L77" s="36"/>
      <c r="M77" s="36"/>
      <c r="N77" s="36"/>
      <c r="O77" s="36"/>
    </row>
    <row r="78" spans="6:15">
      <c r="F78" s="36"/>
      <c r="G78" s="36"/>
      <c r="H78" s="36"/>
      <c r="I78" s="36"/>
      <c r="J78" s="36"/>
      <c r="K78" s="36"/>
      <c r="L78" s="36"/>
      <c r="M78" s="36"/>
      <c r="N78" s="36"/>
      <c r="O78" s="36"/>
    </row>
    <row r="79" spans="6:15">
      <c r="F79" s="36"/>
      <c r="G79" s="36"/>
      <c r="H79" s="36"/>
      <c r="I79" s="36"/>
      <c r="J79" s="36"/>
      <c r="K79" s="36"/>
      <c r="L79" s="36"/>
      <c r="M79" s="36"/>
      <c r="N79" s="36"/>
      <c r="O79" s="36"/>
    </row>
    <row r="80" spans="6:15">
      <c r="F80" s="36"/>
      <c r="G80" s="36"/>
      <c r="H80" s="36"/>
      <c r="I80" s="36"/>
      <c r="J80" s="36"/>
      <c r="K80" s="36"/>
      <c r="L80" s="36"/>
      <c r="M80" s="36"/>
      <c r="N80" s="36"/>
      <c r="O80" s="36"/>
    </row>
    <row r="81" spans="6:15">
      <c r="F81" s="36"/>
      <c r="G81" s="36"/>
      <c r="H81" s="36"/>
      <c r="I81" s="36"/>
      <c r="J81" s="36"/>
      <c r="K81" s="36"/>
      <c r="L81" s="36"/>
      <c r="M81" s="36"/>
      <c r="N81" s="36"/>
      <c r="O81" s="36"/>
    </row>
    <row r="82" spans="6:15">
      <c r="F82" s="36"/>
      <c r="G82" s="36"/>
      <c r="H82" s="36"/>
      <c r="I82" s="36"/>
      <c r="J82" s="36"/>
      <c r="K82" s="36"/>
      <c r="L82" s="36"/>
      <c r="M82" s="36"/>
      <c r="N82" s="36"/>
      <c r="O82" s="36"/>
    </row>
    <row r="83" spans="6:15">
      <c r="F83" s="36"/>
      <c r="G83" s="36"/>
      <c r="H83" s="36"/>
      <c r="I83" s="36"/>
      <c r="J83" s="36"/>
      <c r="K83" s="36"/>
      <c r="L83" s="36"/>
      <c r="M83" s="36"/>
      <c r="N83" s="36"/>
      <c r="O83" s="36"/>
    </row>
    <row r="84" spans="6:15">
      <c r="F84" s="36"/>
      <c r="G84" s="36"/>
      <c r="H84" s="36"/>
      <c r="I84" s="36"/>
      <c r="J84" s="36"/>
      <c r="K84" s="36"/>
      <c r="L84" s="36"/>
      <c r="M84" s="36"/>
      <c r="N84" s="36"/>
      <c r="O84" s="36"/>
    </row>
    <row r="85" spans="6:15">
      <c r="F85" s="36"/>
      <c r="G85" s="36"/>
      <c r="H85" s="36"/>
      <c r="I85" s="36"/>
      <c r="J85" s="36"/>
      <c r="K85" s="36"/>
      <c r="L85" s="36"/>
      <c r="M85" s="36"/>
      <c r="N85" s="36"/>
      <c r="O85" s="36"/>
    </row>
    <row r="86" spans="6:15">
      <c r="F86" s="36"/>
      <c r="G86" s="36"/>
      <c r="H86" s="36"/>
      <c r="I86" s="36"/>
      <c r="J86" s="36"/>
      <c r="K86" s="36"/>
      <c r="L86" s="36"/>
      <c r="M86" s="36"/>
      <c r="N86" s="36"/>
      <c r="O86" s="36"/>
    </row>
  </sheetData>
  <mergeCells count="1">
    <mergeCell ref="A1:A2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4E515967AE6247A8677D9E2C39524D" ma:contentTypeVersion="13" ma:contentTypeDescription="Crie um novo documento." ma:contentTypeScope="" ma:versionID="dba0b043044769118f14c1c948d69c3a">
  <xsd:schema xmlns:xsd="http://www.w3.org/2001/XMLSchema" xmlns:xs="http://www.w3.org/2001/XMLSchema" xmlns:p="http://schemas.microsoft.com/office/2006/metadata/properties" xmlns:ns3="ee4a3972-3b91-4501-a6e0-b1e0bba4516d" xmlns:ns4="a950d04c-cc62-4e3c-9265-a186f3de7b6b" targetNamespace="http://schemas.microsoft.com/office/2006/metadata/properties" ma:root="true" ma:fieldsID="410d424a74baa5f49b0d5153f5744ceb" ns3:_="" ns4:_="">
    <xsd:import namespace="ee4a3972-3b91-4501-a6e0-b1e0bba4516d"/>
    <xsd:import namespace="a950d04c-cc62-4e3c-9265-a186f3de7b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a3972-3b91-4501-a6e0-b1e0bba451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0d04c-cc62-4e3c-9265-a186f3de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E9D146-C664-4EBC-AA8D-F3A1DD456BC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B8477E-083B-4504-AFF2-E5A4D48F16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C2A2F2-A9E0-4A9D-AB08-AE0730FC6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a3972-3b91-4501-a6e0-b1e0bba4516d"/>
    <ds:schemaRef ds:uri="a950d04c-cc62-4e3c-9265-a186f3de7b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10</vt:i4>
      </vt:variant>
    </vt:vector>
  </HeadingPairs>
  <TitlesOfParts>
    <vt:vector size="23" baseType="lpstr">
      <vt:lpstr>Menu</vt:lpstr>
      <vt:lpstr>Home</vt:lpstr>
      <vt:lpstr>Corp_Indicators</vt:lpstr>
      <vt:lpstr>Corp_Stores</vt:lpstr>
      <vt:lpstr>Corp_SI</vt:lpstr>
      <vt:lpstr>Corp_BS</vt:lpstr>
      <vt:lpstr>Corp_CFS</vt:lpstr>
      <vt:lpstr>BR_Indicators</vt:lpstr>
      <vt:lpstr>BR_IS</vt:lpstr>
      <vt:lpstr>BR_BS</vt:lpstr>
      <vt:lpstr>AR_Indicadores</vt:lpstr>
      <vt:lpstr>AR_IS</vt:lpstr>
      <vt:lpstr>AR_BS</vt:lpstr>
      <vt:lpstr>AR_BS!Titulos_de_impressao</vt:lpstr>
      <vt:lpstr>AR_Indicadores!Titulos_de_impressao</vt:lpstr>
      <vt:lpstr>AR_IS!Titulos_de_impressao</vt:lpstr>
      <vt:lpstr>BR_BS!Titulos_de_impressao</vt:lpstr>
      <vt:lpstr>BR_Indicators!Titulos_de_impressao</vt:lpstr>
      <vt:lpstr>BR_IS!Titulos_de_impressao</vt:lpstr>
      <vt:lpstr>Corp_BS!Titulos_de_impressao</vt:lpstr>
      <vt:lpstr>Corp_CFS!Titulos_de_impressao</vt:lpstr>
      <vt:lpstr>Corp_Indicators!Titulos_de_impressao</vt:lpstr>
      <vt:lpstr>Corp_SI!Titulos_de_impressao</vt:lpstr>
    </vt:vector>
  </TitlesOfParts>
  <Manager/>
  <Company>CVC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Livia de Souza Lima</dc:creator>
  <cp:keywords/>
  <dc:description/>
  <cp:lastModifiedBy>Tiago Nishimura</cp:lastModifiedBy>
  <cp:revision/>
  <dcterms:created xsi:type="dcterms:W3CDTF">2021-06-30T17:52:26Z</dcterms:created>
  <dcterms:modified xsi:type="dcterms:W3CDTF">2026-05-14T11:55:06Z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0x010100FD4E515967AE6247A8677D9E2C39524D</vt:lpwstr>
  </property>
</Properties>
</file>